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Bindrs\CompetitiveInitial\2024-026LewisXing\"/>
    </mc:Choice>
  </mc:AlternateContent>
  <xr:revisionPtr revIDLastSave="0" documentId="13_ncr:1_{7C62A03B-4492-4D97-B5DA-44165A73108F}" xr6:coauthVersionLast="47" xr6:coauthVersionMax="47" xr10:uidLastSave="{00000000-0000-0000-0000-000000000000}"/>
  <workbookProtection workbookAlgorithmName="SHA-512" workbookHashValue="R1RaYDbZgXt3Emk0OkLa3r3SDdbGPzk5RN9iBrufseygZW22SBG9LUSV7NoTdIJVWbvW18rhEcColWaPOyMqNg==" workbookSaltValue="EKF34BgSrrAPdUAv6Jdlvg==" workbookSpinCount="100000" lockStructure="1"/>
  <bookViews>
    <workbookView xWindow="780" yWindow="780" windowWidth="19200" windowHeight="6600" tabRatio="935" firstSheet="3"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N232" i="110"/>
  <c r="P141" i="112"/>
  <c r="O141" i="112"/>
  <c r="P45" i="106"/>
  <c r="J133" i="107"/>
  <c r="S131" i="107"/>
  <c r="S130" i="107"/>
  <c r="S129" i="107"/>
  <c r="J126" i="107"/>
  <c r="J122" i="107"/>
  <c r="S118" i="107" l="1"/>
  <c r="S116" i="107"/>
  <c r="S111" i="107"/>
  <c r="S109" i="107"/>
  <c r="S108" i="107"/>
  <c r="S106" i="107"/>
  <c r="J89" i="107"/>
  <c r="J91" i="107"/>
  <c r="J90" i="107"/>
  <c r="J88" i="107"/>
  <c r="J85" i="107"/>
  <c r="J83" i="107"/>
  <c r="J82" i="107"/>
  <c r="J81" i="107"/>
  <c r="J80" i="107"/>
  <c r="J79" i="107"/>
  <c r="J78" i="107"/>
  <c r="J77" i="107"/>
  <c r="J76" i="107"/>
  <c r="J75" i="107"/>
  <c r="S97" i="107"/>
  <c r="S99" i="107"/>
  <c r="J69" i="107"/>
  <c r="J68" i="107"/>
  <c r="J67" i="107"/>
  <c r="J66" i="107"/>
  <c r="S98" i="107"/>
  <c r="J65" i="107"/>
  <c r="S64" i="107"/>
  <c r="J63" i="107"/>
  <c r="J55" i="107"/>
  <c r="J40" i="107"/>
  <c r="J39" i="107"/>
  <c r="J38" i="107"/>
  <c r="J30" i="107"/>
  <c r="J26" i="107"/>
  <c r="S20" i="107"/>
  <c r="J13" i="107"/>
  <c r="J12" i="107"/>
  <c r="J14" i="107"/>
  <c r="J84" i="107"/>
  <c r="J11" i="107"/>
  <c r="J10" i="107"/>
  <c r="J9" i="107"/>
  <c r="P27" i="112" l="1"/>
  <c r="O368" i="112"/>
  <c r="P181" i="113"/>
  <c r="O1262" i="121"/>
  <c r="O1522" i="121"/>
  <c r="P1024" i="121"/>
  <c r="P1263" i="121"/>
  <c r="O1263" i="121"/>
  <c r="F78" i="89"/>
  <c r="F76" i="89"/>
  <c r="F74" i="89"/>
  <c r="F40" i="89"/>
  <c r="F31" i="89"/>
  <c r="E28" i="89"/>
  <c r="E17" i="89"/>
  <c r="K44" i="87"/>
  <c r="K43" i="87"/>
  <c r="K42" i="87"/>
  <c r="K41" i="87"/>
  <c r="K40" i="87"/>
  <c r="K39" i="87"/>
  <c r="K38" i="87"/>
  <c r="K37" i="87"/>
  <c r="K36" i="87"/>
  <c r="K35" i="87"/>
  <c r="K34" i="87"/>
  <c r="K33" i="87"/>
  <c r="K32" i="87"/>
  <c r="K31" i="87"/>
  <c r="K30" i="87"/>
  <c r="K29" i="87"/>
  <c r="K28" i="87"/>
  <c r="K27" i="87"/>
  <c r="K26" i="87"/>
  <c r="K25" i="87"/>
  <c r="K24" i="87"/>
  <c r="K23" i="87"/>
  <c r="K22" i="87"/>
  <c r="K21" i="87"/>
  <c r="K20" i="87"/>
  <c r="K19" i="87"/>
  <c r="K18" i="87"/>
  <c r="K17" i="87"/>
  <c r="K16" i="87"/>
  <c r="K15" i="87"/>
  <c r="K14" i="87"/>
  <c r="K13" i="87"/>
  <c r="K12" i="87"/>
  <c r="K11" i="87"/>
  <c r="K10" i="87"/>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O1381" i="121"/>
  <c r="P1379" i="121"/>
  <c r="O1379" i="121"/>
  <c r="P1373" i="121"/>
  <c r="P1372" i="121"/>
  <c r="P1369" i="121"/>
  <c r="P1347" i="121"/>
  <c r="O1347" i="121"/>
  <c r="Q1347" i="121" s="1"/>
  <c r="P1309" i="121"/>
  <c r="P1278" i="121"/>
  <c r="P1274" i="121"/>
  <c r="P1265" i="121"/>
  <c r="O1265" i="121"/>
  <c r="P1258" i="121"/>
  <c r="P1257"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K806" i="121"/>
  <c r="J806" i="121"/>
  <c r="I806" i="121"/>
  <c r="H806" i="121"/>
  <c r="G806" i="121"/>
  <c r="F806" i="121"/>
  <c r="E806" i="121"/>
  <c r="D806" i="121"/>
  <c r="C806" i="121"/>
  <c r="B806" i="121"/>
  <c r="K775" i="121"/>
  <c r="J775" i="121"/>
  <c r="I775" i="121"/>
  <c r="H775" i="121"/>
  <c r="G775" i="121"/>
  <c r="F775" i="121"/>
  <c r="E775" i="121"/>
  <c r="D775" i="121"/>
  <c r="C775" i="121"/>
  <c r="B775" i="121"/>
  <c r="F823" i="121"/>
  <c r="F830" i="121" s="1"/>
  <c r="E823" i="121"/>
  <c r="D823" i="121"/>
  <c r="C823" i="121"/>
  <c r="C830" i="121" s="1"/>
  <c r="B823" i="121"/>
  <c r="B830" i="121" s="1"/>
  <c r="E830" i="121"/>
  <c r="K793" i="121"/>
  <c r="K800" i="121" s="1"/>
  <c r="J793" i="121"/>
  <c r="I793" i="121"/>
  <c r="H793" i="121"/>
  <c r="H800" i="121" s="1"/>
  <c r="G793" i="121"/>
  <c r="F793" i="121"/>
  <c r="E793" i="121"/>
  <c r="D793" i="121"/>
  <c r="D800" i="121" s="1"/>
  <c r="C793" i="121"/>
  <c r="C800" i="121" s="1"/>
  <c r="B793" i="121"/>
  <c r="K764" i="121"/>
  <c r="J764" i="121"/>
  <c r="I764" i="121"/>
  <c r="H764" i="121"/>
  <c r="G764" i="121"/>
  <c r="K761" i="121"/>
  <c r="J761" i="121"/>
  <c r="I761" i="121"/>
  <c r="H761" i="121"/>
  <c r="G761" i="121"/>
  <c r="F761" i="121"/>
  <c r="E761" i="121"/>
  <c r="D761" i="121"/>
  <c r="C761" i="121"/>
  <c r="B761"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29" i="121"/>
  <c r="J729" i="121"/>
  <c r="I729" i="121"/>
  <c r="H729" i="121"/>
  <c r="G729" i="121"/>
  <c r="F729" i="121"/>
  <c r="E729" i="121"/>
  <c r="D729" i="121"/>
  <c r="C729"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L689" i="121" s="1"/>
  <c r="I682" i="121"/>
  <c r="I688" i="121"/>
  <c r="I672" i="121"/>
  <c r="L681" i="121"/>
  <c r="L682" i="121"/>
  <c r="L680" i="121"/>
  <c r="L679" i="121"/>
  <c r="L678" i="12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HP456" i="121" s="1"/>
  <c r="Q456" i="121"/>
  <c r="N457" i="121"/>
  <c r="O457" i="121"/>
  <c r="P457" i="121"/>
  <c r="MK457" i="121" s="1"/>
  <c r="Q457" i="121"/>
  <c r="LE457" i="121" s="1"/>
  <c r="N458" i="121"/>
  <c r="O458" i="121"/>
  <c r="P458" i="121"/>
  <c r="GO458" i="121" s="1"/>
  <c r="Q458" i="121"/>
  <c r="N459" i="121"/>
  <c r="O459" i="121"/>
  <c r="P459" i="121"/>
  <c r="Q459" i="121"/>
  <c r="N460" i="121"/>
  <c r="O460" i="121"/>
  <c r="P460" i="121"/>
  <c r="LS460" i="121" s="1"/>
  <c r="Q460" i="121"/>
  <c r="N461" i="121"/>
  <c r="FU461" i="121" s="1"/>
  <c r="O461" i="121"/>
  <c r="P461" i="121"/>
  <c r="MM461" i="121" s="1"/>
  <c r="Q461" i="121"/>
  <c r="KZ461" i="121" s="1"/>
  <c r="N462" i="121"/>
  <c r="O462" i="121"/>
  <c r="KW462" i="121" s="1"/>
  <c r="P462" i="121"/>
  <c r="LQ462" i="121" s="1"/>
  <c r="Q462" i="121"/>
  <c r="N463" i="121"/>
  <c r="O463" i="121"/>
  <c r="P463" i="121"/>
  <c r="Q463" i="121"/>
  <c r="N464" i="121"/>
  <c r="O464" i="121"/>
  <c r="P464" i="121"/>
  <c r="MN464" i="121" s="1"/>
  <c r="Q464" i="121"/>
  <c r="KO464" i="121" s="1"/>
  <c r="N465" i="121"/>
  <c r="EF465" i="121" s="1"/>
  <c r="O465" i="121"/>
  <c r="ID465" i="121" s="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ML461" i="121" s="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O465" i="121" s="1"/>
  <c r="F465" i="121"/>
  <c r="G465" i="121"/>
  <c r="H465" i="121"/>
  <c r="I465" i="121"/>
  <c r="C466" i="121"/>
  <c r="D466" i="121"/>
  <c r="E466" i="121"/>
  <c r="MN466" i="121" s="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B466" i="121"/>
  <c r="MA466" i="121" s="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J237" i="121" s="1"/>
  <c r="G232" i="121"/>
  <c r="G237" i="121" s="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K769" i="121"/>
  <c r="J769" i="121"/>
  <c r="I769" i="121"/>
  <c r="H769" i="121"/>
  <c r="G769" i="121"/>
  <c r="F769" i="121"/>
  <c r="E769" i="121"/>
  <c r="D769" i="121"/>
  <c r="C769" i="12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O466" i="121"/>
  <c r="ME466" i="121"/>
  <c r="MD466" i="121"/>
  <c r="MC466" i="121"/>
  <c r="MB466" i="121"/>
  <c r="LS466" i="121"/>
  <c r="LR466" i="121"/>
  <c r="LP466" i="121"/>
  <c r="LG466" i="121"/>
  <c r="KT466" i="121"/>
  <c r="KD466" i="121"/>
  <c r="JN466" i="121"/>
  <c r="IX466" i="121"/>
  <c r="IH466" i="121"/>
  <c r="ID466" i="121"/>
  <c r="IC466" i="121"/>
  <c r="IB466" i="121"/>
  <c r="IA466" i="121"/>
  <c r="HX466" i="121"/>
  <c r="HW466" i="121"/>
  <c r="HV466" i="121"/>
  <c r="HU466" i="121"/>
  <c r="HL466" i="121"/>
  <c r="HK466" i="121"/>
  <c r="HJ466" i="121"/>
  <c r="HI466" i="121"/>
  <c r="GZ466" i="121"/>
  <c r="GY466" i="121"/>
  <c r="GX466" i="121"/>
  <c r="GN466" i="121"/>
  <c r="GM466" i="121"/>
  <c r="GL466" i="121"/>
  <c r="GK466" i="121"/>
  <c r="GF466" i="121"/>
  <c r="GE466" i="121"/>
  <c r="GD466" i="121"/>
  <c r="GC466" i="121"/>
  <c r="GB466" i="121"/>
  <c r="GA466" i="121"/>
  <c r="FZ466" i="121"/>
  <c r="FX466" i="121"/>
  <c r="FW466" i="121"/>
  <c r="FP466" i="121"/>
  <c r="FO466" i="121"/>
  <c r="FN466" i="121"/>
  <c r="FM466" i="121"/>
  <c r="FD466" i="121"/>
  <c r="FC466" i="121"/>
  <c r="FB466" i="121"/>
  <c r="FA466" i="121"/>
  <c r="ER466" i="121"/>
  <c r="EP466" i="121"/>
  <c r="EO466" i="121"/>
  <c r="EH466" i="121"/>
  <c r="EG466" i="121"/>
  <c r="EF466" i="121"/>
  <c r="EE466" i="121"/>
  <c r="ED466" i="121"/>
  <c r="EC466" i="121"/>
  <c r="DT466" i="121"/>
  <c r="DS466" i="121"/>
  <c r="DR466" i="121"/>
  <c r="DH466" i="121"/>
  <c r="DG466" i="121"/>
  <c r="DF466" i="121"/>
  <c r="DE466" i="121"/>
  <c r="CV466" i="121"/>
  <c r="CU466" i="121"/>
  <c r="CT466" i="121"/>
  <c r="CJ466" i="121"/>
  <c r="CI466" i="121"/>
  <c r="CH466" i="121"/>
  <c r="BX466" i="121"/>
  <c r="BW466" i="121"/>
  <c r="BV466" i="121"/>
  <c r="BU466" i="121"/>
  <c r="BL466" i="121"/>
  <c r="BK466" i="121"/>
  <c r="BJ466" i="121"/>
  <c r="BI466" i="121"/>
  <c r="AZ466" i="121"/>
  <c r="AY466" i="121"/>
  <c r="AX466" i="121"/>
  <c r="AN466" i="121"/>
  <c r="AM466" i="121"/>
  <c r="AL466" i="121"/>
  <c r="AK466" i="121"/>
  <c r="AB466" i="121"/>
  <c r="AA466" i="121"/>
  <c r="Z466" i="121"/>
  <c r="Y466" i="121"/>
  <c r="GE465" i="121"/>
  <c r="GD465" i="121"/>
  <c r="GC465" i="121"/>
  <c r="MS464" i="121"/>
  <c r="MO464" i="121"/>
  <c r="LZ464" i="121"/>
  <c r="LN464" i="121"/>
  <c r="ID464" i="121"/>
  <c r="IC464" i="121"/>
  <c r="IB464" i="121"/>
  <c r="IA464" i="121"/>
  <c r="HZ464" i="121"/>
  <c r="HF464" i="121"/>
  <c r="GT464" i="121"/>
  <c r="GI464" i="121"/>
  <c r="GH464" i="121"/>
  <c r="GF464" i="121"/>
  <c r="GA464" i="121"/>
  <c r="FV464" i="121"/>
  <c r="FO464" i="121"/>
  <c r="FN464" i="121"/>
  <c r="FC464" i="121"/>
  <c r="EX464" i="121"/>
  <c r="EQ464" i="121"/>
  <c r="EP464" i="121"/>
  <c r="EH464" i="121"/>
  <c r="EC464" i="121"/>
  <c r="EB464" i="121"/>
  <c r="EA464" i="121"/>
  <c r="DP464" i="121"/>
  <c r="DE464" i="121"/>
  <c r="DD464" i="121"/>
  <c r="DC464" i="121"/>
  <c r="CR464" i="121"/>
  <c r="CG464" i="121"/>
  <c r="CF464" i="121"/>
  <c r="CE464" i="121"/>
  <c r="BT464" i="121"/>
  <c r="BI464" i="121"/>
  <c r="BH464" i="121"/>
  <c r="BG464" i="121"/>
  <c r="AV464" i="121"/>
  <c r="AK464" i="121"/>
  <c r="AJ464" i="121"/>
  <c r="AI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LS462" i="121"/>
  <c r="LR462" i="121"/>
  <c r="LO462" i="121"/>
  <c r="LN462" i="121"/>
  <c r="LM462" i="121"/>
  <c r="LH462" i="121"/>
  <c r="LG462" i="121"/>
  <c r="IA462" i="121"/>
  <c r="HZ462" i="121"/>
  <c r="HW462" i="121"/>
  <c r="HU462" i="121"/>
  <c r="HA462" i="121"/>
  <c r="GZ462" i="121"/>
  <c r="GI462" i="121"/>
  <c r="GD462" i="121"/>
  <c r="GC462" i="121"/>
  <c r="GB462" i="121"/>
  <c r="GA462" i="121"/>
  <c r="FY462" i="121"/>
  <c r="FX462" i="121"/>
  <c r="FW462" i="121"/>
  <c r="FR462" i="121"/>
  <c r="FQ462" i="121"/>
  <c r="FP462" i="121"/>
  <c r="FO462" i="121"/>
  <c r="FM462" i="121"/>
  <c r="FL462" i="121"/>
  <c r="FK462" i="121"/>
  <c r="FF462" i="121"/>
  <c r="FE462" i="121"/>
  <c r="FD462" i="121"/>
  <c r="FC462" i="121"/>
  <c r="FA462" i="121"/>
  <c r="EZ462" i="121"/>
  <c r="EY462" i="121"/>
  <c r="ET462" i="121"/>
  <c r="ES462" i="121"/>
  <c r="ER462" i="121"/>
  <c r="EQ462" i="121"/>
  <c r="EO462" i="121"/>
  <c r="EN462" i="121"/>
  <c r="EM462" i="121"/>
  <c r="EH462" i="121"/>
  <c r="EG462" i="121"/>
  <c r="EF462" i="121"/>
  <c r="EE462" i="121"/>
  <c r="EC462" i="121"/>
  <c r="EB462" i="121"/>
  <c r="EA462" i="121"/>
  <c r="DV462" i="121"/>
  <c r="DU462" i="121"/>
  <c r="DT462" i="121"/>
  <c r="DS462" i="121"/>
  <c r="DQ462" i="121"/>
  <c r="DP462" i="121"/>
  <c r="DO462" i="121"/>
  <c r="DJ462" i="121"/>
  <c r="DI462" i="121"/>
  <c r="DH462" i="121"/>
  <c r="DG462" i="121"/>
  <c r="DE462" i="121"/>
  <c r="DD462" i="121"/>
  <c r="DC462" i="121"/>
  <c r="CX462" i="121"/>
  <c r="CW462" i="121"/>
  <c r="CV462" i="121"/>
  <c r="CU462" i="121"/>
  <c r="CS462" i="121"/>
  <c r="CR462" i="121"/>
  <c r="CQ462" i="121"/>
  <c r="CL462" i="121"/>
  <c r="CK462" i="121"/>
  <c r="CJ462" i="121"/>
  <c r="CI462" i="121"/>
  <c r="CG462" i="121"/>
  <c r="CF462" i="121"/>
  <c r="CE462" i="121"/>
  <c r="BZ462" i="121"/>
  <c r="BY462" i="121"/>
  <c r="BX462" i="121"/>
  <c r="BW462" i="121"/>
  <c r="BU462" i="121"/>
  <c r="BT462" i="121"/>
  <c r="BS462" i="121"/>
  <c r="BN462" i="121"/>
  <c r="BM462" i="121"/>
  <c r="BL462" i="121"/>
  <c r="BK462" i="121"/>
  <c r="BI462" i="121"/>
  <c r="BH462" i="121"/>
  <c r="BG462" i="121"/>
  <c r="BB462" i="121"/>
  <c r="BA462" i="121"/>
  <c r="AZ462" i="121"/>
  <c r="AY462" i="121"/>
  <c r="AW462" i="121"/>
  <c r="AV462" i="121"/>
  <c r="AU462" i="121"/>
  <c r="AP462" i="121"/>
  <c r="AO462" i="121"/>
  <c r="AN462" i="121"/>
  <c r="AM462" i="121"/>
  <c r="AK462" i="121"/>
  <c r="AJ462" i="121"/>
  <c r="AI462" i="121"/>
  <c r="AD462" i="121"/>
  <c r="AC462" i="121"/>
  <c r="AB462" i="121"/>
  <c r="AA462" i="121"/>
  <c r="Y462" i="121"/>
  <c r="X462" i="121"/>
  <c r="JD461" i="121"/>
  <c r="IV461" i="121"/>
  <c r="IN461" i="121"/>
  <c r="IF461" i="121"/>
  <c r="ID461" i="121"/>
  <c r="IC461" i="121"/>
  <c r="LG460" i="121"/>
  <c r="IC460" i="121"/>
  <c r="HE460" i="121"/>
  <c r="GS460" i="121"/>
  <c r="GG460" i="121"/>
  <c r="FU460" i="121"/>
  <c r="FI460" i="121"/>
  <c r="EW460" i="121"/>
  <c r="EK460" i="121"/>
  <c r="DY460" i="121"/>
  <c r="DM460" i="121"/>
  <c r="DA460" i="121"/>
  <c r="CO460" i="121"/>
  <c r="CC460" i="121"/>
  <c r="BQ460" i="121"/>
  <c r="BE460" i="121"/>
  <c r="AS460" i="121"/>
  <c r="AG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LX458" i="121"/>
  <c r="LW458" i="121"/>
  <c r="LV458" i="121"/>
  <c r="LL458" i="121"/>
  <c r="LK458" i="121"/>
  <c r="LJ458" i="121"/>
  <c r="HZ458" i="121"/>
  <c r="HO458" i="121"/>
  <c r="HM458" i="121"/>
  <c r="HC458" i="121"/>
  <c r="HB458" i="121"/>
  <c r="HA458" i="121"/>
  <c r="GQ458" i="121"/>
  <c r="GP458" i="121"/>
  <c r="GE458" i="121"/>
  <c r="GD458" i="121"/>
  <c r="GC458" i="121"/>
  <c r="FS458" i="121"/>
  <c r="FR458" i="121"/>
  <c r="FQ458" i="121"/>
  <c r="FG458" i="121"/>
  <c r="FF458" i="121"/>
  <c r="FE458" i="121"/>
  <c r="EU458" i="121"/>
  <c r="ET458" i="121"/>
  <c r="ES458" i="121"/>
  <c r="EI458" i="121"/>
  <c r="EH458" i="121"/>
  <c r="EG458" i="121"/>
  <c r="DW458" i="121"/>
  <c r="DV458" i="121"/>
  <c r="DU458" i="121"/>
  <c r="DK458" i="121"/>
  <c r="DJ458" i="121"/>
  <c r="DI458" i="121"/>
  <c r="CY458" i="121"/>
  <c r="CX458" i="121"/>
  <c r="CW458" i="121"/>
  <c r="CM458" i="121"/>
  <c r="CL458" i="121"/>
  <c r="CK458" i="121"/>
  <c r="CA458" i="121"/>
  <c r="BZ458" i="121"/>
  <c r="BY458" i="121"/>
  <c r="BO458" i="121"/>
  <c r="BN458" i="121"/>
  <c r="BM458" i="121"/>
  <c r="BC458" i="121"/>
  <c r="BB458" i="121"/>
  <c r="BA458" i="121"/>
  <c r="AQ458" i="121"/>
  <c r="AP458" i="121"/>
  <c r="AO458" i="121"/>
  <c r="AE458" i="121"/>
  <c r="AD458" i="121"/>
  <c r="AC458" i="121"/>
  <c r="MT457" i="121"/>
  <c r="MM457" i="121"/>
  <c r="ML457" i="121"/>
  <c r="MC457" i="121"/>
  <c r="LY457" i="121"/>
  <c r="LU457" i="121"/>
  <c r="LM457" i="121"/>
  <c r="LI457" i="121"/>
  <c r="KO457" i="121"/>
  <c r="KI457" i="121"/>
  <c r="ID457" i="121"/>
  <c r="IC457" i="121"/>
  <c r="IB457" i="121"/>
  <c r="IA457" i="121"/>
  <c r="HZ457" i="121"/>
  <c r="HY457" i="121"/>
  <c r="HE457" i="121"/>
  <c r="HA457" i="121"/>
  <c r="GW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LK456" i="121"/>
  <c r="LJ456" i="121"/>
  <c r="HZ456" i="121"/>
  <c r="GF456" i="121"/>
  <c r="FI456" i="121"/>
  <c r="FH456" i="121"/>
  <c r="FG456" i="121"/>
  <c r="FF456" i="121"/>
  <c r="EI456" i="121"/>
  <c r="EH456" i="121"/>
  <c r="EG456" i="121"/>
  <c r="DY456" i="121"/>
  <c r="DI456" i="121"/>
  <c r="DA456" i="121"/>
  <c r="CZ456" i="121"/>
  <c r="CY456" i="121"/>
  <c r="CB456" i="121"/>
  <c r="CA456" i="121"/>
  <c r="BZ456" i="121"/>
  <c r="BY456" i="121"/>
  <c r="BB456" i="121"/>
  <c r="BA456" i="121"/>
  <c r="AS456" i="121"/>
  <c r="AR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J412" i="121"/>
  <c r="B393" i="121"/>
  <c r="A391" i="121"/>
  <c r="S301" i="121"/>
  <c r="S299" i="121"/>
  <c r="S297" i="121"/>
  <c r="J292" i="121"/>
  <c r="N289" i="121"/>
  <c r="J289" i="121"/>
  <c r="S254" i="121"/>
  <c r="P254" i="121"/>
  <c r="M254" i="121"/>
  <c r="J254" i="121"/>
  <c r="G254" i="121"/>
  <c r="O251" i="121"/>
  <c r="P245" i="121"/>
  <c r="J245" i="121"/>
  <c r="J241"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L683" i="121" l="1"/>
  <c r="IS464" i="121"/>
  <c r="GY464" i="121"/>
  <c r="LY464" i="121"/>
  <c r="HG464" i="121"/>
  <c r="MC464" i="121"/>
  <c r="HR464" i="121"/>
  <c r="ML464" i="121"/>
  <c r="MM464" i="121"/>
  <c r="LR464" i="121"/>
  <c r="IS465" i="121"/>
  <c r="JI465" i="121"/>
  <c r="ED465" i="121"/>
  <c r="EE465" i="121"/>
  <c r="AL464" i="121"/>
  <c r="DF464" i="121"/>
  <c r="GJ464" i="121"/>
  <c r="BK464" i="121"/>
  <c r="EE464" i="121"/>
  <c r="GK464" i="121"/>
  <c r="AT464" i="121"/>
  <c r="BR464" i="121"/>
  <c r="CP464" i="121"/>
  <c r="DN464" i="121"/>
  <c r="EF464" i="121"/>
  <c r="FA464" i="121"/>
  <c r="FY464" i="121"/>
  <c r="GL464" i="121"/>
  <c r="HJ464" i="121"/>
  <c r="BJ464" i="121"/>
  <c r="CH464" i="121"/>
  <c r="ED464" i="121"/>
  <c r="EY464" i="121"/>
  <c r="FW464" i="121"/>
  <c r="HH464" i="121"/>
  <c r="AM464" i="121"/>
  <c r="CI464" i="121"/>
  <c r="DG464" i="121"/>
  <c r="EZ464" i="121"/>
  <c r="FX464" i="121"/>
  <c r="HI464" i="121"/>
  <c r="AU464" i="121"/>
  <c r="BS464" i="121"/>
  <c r="CQ464" i="121"/>
  <c r="DO464" i="121"/>
  <c r="EG464" i="121"/>
  <c r="FB464" i="121"/>
  <c r="FZ464" i="121"/>
  <c r="GM464" i="121"/>
  <c r="HK464" i="121"/>
  <c r="LX464" i="121"/>
  <c r="AW464" i="121"/>
  <c r="CS464" i="121"/>
  <c r="EL464" i="121"/>
  <c r="GB464" i="121"/>
  <c r="HS464" i="121"/>
  <c r="BV464" i="121"/>
  <c r="EM464" i="121"/>
  <c r="HT464" i="121"/>
  <c r="AA464" i="121"/>
  <c r="AY464" i="121"/>
  <c r="BW464" i="121"/>
  <c r="CU464" i="121"/>
  <c r="DS464" i="121"/>
  <c r="EN464" i="121"/>
  <c r="FL464" i="121"/>
  <c r="GD464" i="121"/>
  <c r="GW464" i="121"/>
  <c r="HV464" i="121"/>
  <c r="LQ464" i="121"/>
  <c r="Y464" i="121"/>
  <c r="BU464" i="121"/>
  <c r="DQ464" i="121"/>
  <c r="FJ464" i="121"/>
  <c r="GU464" i="121"/>
  <c r="LO464" i="121"/>
  <c r="Z464" i="121"/>
  <c r="AX464" i="121"/>
  <c r="CT464" i="121"/>
  <c r="DR464" i="121"/>
  <c r="FK464" i="121"/>
  <c r="GC464" i="121"/>
  <c r="GV464" i="121"/>
  <c r="LP464" i="121"/>
  <c r="AH464" i="121"/>
  <c r="BF464" i="121"/>
  <c r="CD464" i="121"/>
  <c r="DB464" i="121"/>
  <c r="DZ464" i="121"/>
  <c r="EO464" i="121"/>
  <c r="FM464" i="121"/>
  <c r="GE464" i="121"/>
  <c r="GX464" i="121"/>
  <c r="HW464" i="121"/>
  <c r="KR461" i="121"/>
  <c r="GK462" i="121"/>
  <c r="HY462" i="121"/>
  <c r="MB462" i="121"/>
  <c r="GM462" i="121"/>
  <c r="HH462" i="121"/>
  <c r="LZ462" i="121"/>
  <c r="GN462" i="121"/>
  <c r="HI462" i="121"/>
  <c r="MA462" i="121"/>
  <c r="GO462" i="121"/>
  <c r="HK462" i="121"/>
  <c r="MC462" i="121"/>
  <c r="GV462" i="121"/>
  <c r="HN462" i="121"/>
  <c r="GJ462" i="121"/>
  <c r="HB462" i="121"/>
  <c r="HX462" i="121"/>
  <c r="LT462" i="121"/>
  <c r="HG462" i="121"/>
  <c r="LY462" i="121"/>
  <c r="GW462" i="121"/>
  <c r="HS462" i="121"/>
  <c r="GP462" i="121"/>
  <c r="HL462" i="121"/>
  <c r="MD462" i="121"/>
  <c r="GU462" i="121"/>
  <c r="HM462" i="121"/>
  <c r="ME462" i="121"/>
  <c r="GY462" i="121"/>
  <c r="HT462" i="121"/>
  <c r="LZ461" i="121"/>
  <c r="ME460" i="121"/>
  <c r="HQ460" i="121"/>
  <c r="MC460" i="121"/>
  <c r="IC462" i="121"/>
  <c r="MK462" i="121"/>
  <c r="ID462" i="121"/>
  <c r="ML462" i="121"/>
  <c r="IF462" i="121"/>
  <c r="MM462" i="121"/>
  <c r="JA462" i="121"/>
  <c r="MO462" i="121"/>
  <c r="JQ462" i="121"/>
  <c r="MG462" i="121"/>
  <c r="MN462" i="121"/>
  <c r="KG462" i="121"/>
  <c r="IB462" i="121"/>
  <c r="IN462" i="121"/>
  <c r="AF462" i="121"/>
  <c r="AR462" i="121"/>
  <c r="BD462" i="121"/>
  <c r="BP462" i="121"/>
  <c r="CB462" i="121"/>
  <c r="CN462" i="121"/>
  <c r="CZ462" i="121"/>
  <c r="DL462" i="121"/>
  <c r="DX462" i="121"/>
  <c r="EJ462" i="121"/>
  <c r="EV462" i="121"/>
  <c r="FH462" i="121"/>
  <c r="FT462" i="121"/>
  <c r="GF462" i="121"/>
  <c r="GR462" i="121"/>
  <c r="HD462" i="121"/>
  <c r="HP462" i="121"/>
  <c r="LJ462" i="121"/>
  <c r="LV462" i="121"/>
  <c r="AG462" i="121"/>
  <c r="AS462" i="121"/>
  <c r="BE462" i="121"/>
  <c r="BQ462" i="121"/>
  <c r="CC462" i="121"/>
  <c r="CO462" i="121"/>
  <c r="DA462" i="121"/>
  <c r="DM462" i="121"/>
  <c r="DY462" i="121"/>
  <c r="EK462" i="121"/>
  <c r="EW462" i="121"/>
  <c r="FI462" i="121"/>
  <c r="FU462" i="121"/>
  <c r="GG462" i="121"/>
  <c r="GS462" i="121"/>
  <c r="HE462" i="121"/>
  <c r="HQ462" i="121"/>
  <c r="LK462" i="121"/>
  <c r="LW462" i="121"/>
  <c r="AE462" i="121"/>
  <c r="AQ462" i="121"/>
  <c r="BC462" i="121"/>
  <c r="BO462" i="121"/>
  <c r="CA462" i="121"/>
  <c r="CM462" i="121"/>
  <c r="CY462" i="121"/>
  <c r="DK462" i="121"/>
  <c r="DW462" i="121"/>
  <c r="EI462" i="121"/>
  <c r="EU462" i="121"/>
  <c r="FG462" i="121"/>
  <c r="FS462" i="121"/>
  <c r="GE462" i="121"/>
  <c r="GQ462" i="121"/>
  <c r="HC462" i="121"/>
  <c r="HO462" i="121"/>
  <c r="LI462" i="121"/>
  <c r="LU462" i="121"/>
  <c r="AH462" i="121"/>
  <c r="AT462" i="121"/>
  <c r="BF462" i="121"/>
  <c r="BR462" i="121"/>
  <c r="CD462" i="121"/>
  <c r="CP462" i="121"/>
  <c r="DB462" i="121"/>
  <c r="DN462" i="121"/>
  <c r="DZ462" i="121"/>
  <c r="EL462" i="121"/>
  <c r="EX462" i="121"/>
  <c r="FJ462" i="121"/>
  <c r="FV462" i="121"/>
  <c r="GH462" i="121"/>
  <c r="GT462" i="121"/>
  <c r="HF462" i="121"/>
  <c r="HR462" i="121"/>
  <c r="LL462" i="121"/>
  <c r="LX462" i="121"/>
  <c r="Z462" i="121"/>
  <c r="AL462" i="121"/>
  <c r="AX462" i="121"/>
  <c r="BJ462" i="121"/>
  <c r="BV462" i="121"/>
  <c r="CH462" i="121"/>
  <c r="CT462" i="121"/>
  <c r="DF462" i="121"/>
  <c r="DR462" i="121"/>
  <c r="ED462" i="121"/>
  <c r="EP462" i="121"/>
  <c r="FB462" i="121"/>
  <c r="FN462" i="121"/>
  <c r="FZ462" i="121"/>
  <c r="GL462" i="121"/>
  <c r="GX462" i="121"/>
  <c r="HJ462" i="121"/>
  <c r="HV462" i="121"/>
  <c r="LP462" i="121"/>
  <c r="CK461" i="121"/>
  <c r="EK461" i="121"/>
  <c r="GO461" i="121"/>
  <c r="BA461" i="121"/>
  <c r="EE461" i="121"/>
  <c r="GE461" i="121"/>
  <c r="AO461" i="121"/>
  <c r="DE461" i="121"/>
  <c r="FW461" i="121"/>
  <c r="AS461" i="121"/>
  <c r="EC461" i="121"/>
  <c r="FX461" i="121"/>
  <c r="AW461" i="121"/>
  <c r="ED461" i="121"/>
  <c r="FY461" i="121"/>
  <c r="BE461" i="121"/>
  <c r="EF461" i="121"/>
  <c r="GF461" i="121"/>
  <c r="BI461" i="121"/>
  <c r="EG461" i="121"/>
  <c r="GG461" i="121"/>
  <c r="LJ461" i="121"/>
  <c r="CG461" i="121"/>
  <c r="EH461" i="121"/>
  <c r="GK461" i="121"/>
  <c r="LR461" i="121"/>
  <c r="CO461" i="121"/>
  <c r="GS461" i="121"/>
  <c r="CS461" i="121"/>
  <c r="FM461" i="121"/>
  <c r="GX461" i="121"/>
  <c r="CW461" i="121"/>
  <c r="FQ461" i="121"/>
  <c r="FI461" i="121"/>
  <c r="AK461" i="121"/>
  <c r="DA461" i="121"/>
  <c r="JY458" i="121"/>
  <c r="JS457" i="121"/>
  <c r="JY457" i="121"/>
  <c r="IH457" i="121"/>
  <c r="KT457" i="121"/>
  <c r="IM457" i="121"/>
  <c r="KY457" i="121"/>
  <c r="IX457" i="121"/>
  <c r="JC457" i="121"/>
  <c r="JI457" i="121"/>
  <c r="JN457" i="121"/>
  <c r="KD457" i="121"/>
  <c r="IS457" i="121"/>
  <c r="KB456" i="121"/>
  <c r="HN458" i="121"/>
  <c r="HY458" i="121"/>
  <c r="MO457" i="121"/>
  <c r="HM457" i="121"/>
  <c r="MN457" i="121"/>
  <c r="HI457" i="121"/>
  <c r="HQ457" i="121"/>
  <c r="HU457" i="121"/>
  <c r="LQ457" i="121"/>
  <c r="GO457" i="121"/>
  <c r="MF457" i="121"/>
  <c r="GS457" i="121"/>
  <c r="GG456" i="121"/>
  <c r="GO456" i="121"/>
  <c r="GP456" i="121"/>
  <c r="LZ456" i="121"/>
  <c r="HM456" i="121"/>
  <c r="HN456" i="121"/>
  <c r="HO456" i="121"/>
  <c r="JO458" i="121"/>
  <c r="JT458" i="121"/>
  <c r="JQ456" i="121"/>
  <c r="JW456" i="121"/>
  <c r="KG456" i="121"/>
  <c r="IB456" i="121"/>
  <c r="IA456" i="121"/>
  <c r="IC456" i="121"/>
  <c r="JL456" i="121"/>
  <c r="BC456" i="121"/>
  <c r="DJ456" i="121"/>
  <c r="FQ456" i="121"/>
  <c r="HQ456" i="121"/>
  <c r="LL456" i="121"/>
  <c r="BD456" i="121"/>
  <c r="CK456" i="121"/>
  <c r="DK456" i="121"/>
  <c r="EK456" i="121"/>
  <c r="GR456" i="121"/>
  <c r="HY456" i="121"/>
  <c r="LM456" i="121"/>
  <c r="CC456" i="121"/>
  <c r="EJ456" i="121"/>
  <c r="AD456" i="121"/>
  <c r="AE456" i="121"/>
  <c r="BE456" i="121"/>
  <c r="CL456" i="121"/>
  <c r="DL456" i="121"/>
  <c r="ES456" i="121"/>
  <c r="FS456" i="121"/>
  <c r="GS456" i="121"/>
  <c r="LN456" i="121"/>
  <c r="GQ456" i="121"/>
  <c r="FR456" i="121"/>
  <c r="AF456" i="121"/>
  <c r="BM456" i="121"/>
  <c r="CM456" i="121"/>
  <c r="DM456" i="121"/>
  <c r="ET456" i="121"/>
  <c r="FT456" i="121"/>
  <c r="HA456" i="121"/>
  <c r="LV456" i="121"/>
  <c r="AC456" i="121"/>
  <c r="AG456" i="121"/>
  <c r="CN456" i="121"/>
  <c r="EU456" i="121"/>
  <c r="AO456" i="121"/>
  <c r="BO456" i="121"/>
  <c r="CO456" i="121"/>
  <c r="DV456" i="121"/>
  <c r="EV456" i="121"/>
  <c r="GC456" i="121"/>
  <c r="HC456" i="121"/>
  <c r="LX456" i="121"/>
  <c r="AP456" i="121"/>
  <c r="BP456" i="121"/>
  <c r="CW456" i="121"/>
  <c r="DW456" i="121"/>
  <c r="EW456" i="121"/>
  <c r="GD456" i="121"/>
  <c r="HD456" i="121"/>
  <c r="LY456" i="121"/>
  <c r="BN456" i="121"/>
  <c r="DU456" i="121"/>
  <c r="FU456" i="121"/>
  <c r="HB456" i="121"/>
  <c r="LW456" i="121"/>
  <c r="AQ456" i="121"/>
  <c r="BQ456" i="121"/>
  <c r="CX456" i="121"/>
  <c r="DX456" i="121"/>
  <c r="FE456" i="121"/>
  <c r="GE456" i="121"/>
  <c r="HE456" i="121"/>
  <c r="MK466" i="121"/>
  <c r="MT466" i="121"/>
  <c r="ML466" i="121"/>
  <c r="MM466" i="121"/>
  <c r="CS466" i="121"/>
  <c r="B488" i="121"/>
  <c r="ML465" i="121"/>
  <c r="MM465" i="121"/>
  <c r="MN465" i="121"/>
  <c r="MK464" i="121"/>
  <c r="MK461" i="121"/>
  <c r="IB461" i="121"/>
  <c r="ML458" i="121"/>
  <c r="MM458" i="121"/>
  <c r="IA458" i="121"/>
  <c r="MI458" i="121"/>
  <c r="MN458" i="121"/>
  <c r="ML456" i="121"/>
  <c r="MK456" i="121"/>
  <c r="MM456" i="121"/>
  <c r="MN456" i="121"/>
  <c r="MO456" i="121"/>
  <c r="AW466" i="121"/>
  <c r="CG466" i="121"/>
  <c r="DQ466" i="121"/>
  <c r="EQ466" i="121"/>
  <c r="FY466" i="121"/>
  <c r="GW466" i="121"/>
  <c r="HZ466" i="121"/>
  <c r="LQ466" i="121"/>
  <c r="EG465" i="121"/>
  <c r="GF465" i="121"/>
  <c r="JY465" i="121"/>
  <c r="EH465" i="121"/>
  <c r="GT465" i="121"/>
  <c r="KO465" i="121"/>
  <c r="Z465" i="121"/>
  <c r="FR465" i="121"/>
  <c r="HB465" i="121"/>
  <c r="LE465" i="121"/>
  <c r="LZ465" i="121"/>
  <c r="AH465" i="121"/>
  <c r="FW465" i="121"/>
  <c r="HJ465" i="121"/>
  <c r="LN465" i="121"/>
  <c r="AP465" i="121"/>
  <c r="LV465" i="121"/>
  <c r="AX465" i="121"/>
  <c r="FY465" i="121"/>
  <c r="HZ465" i="121"/>
  <c r="MD465" i="121"/>
  <c r="DJ465" i="121"/>
  <c r="FZ465" i="121"/>
  <c r="IA465" i="121"/>
  <c r="MI465" i="121"/>
  <c r="HR465" i="121"/>
  <c r="DR465" i="121"/>
  <c r="GA465" i="121"/>
  <c r="IB465" i="121"/>
  <c r="MK465" i="121"/>
  <c r="FX465" i="121"/>
  <c r="DZ465" i="121"/>
  <c r="GB465" i="121"/>
  <c r="IC465" i="121"/>
  <c r="JI464" i="121"/>
  <c r="MA464" i="121"/>
  <c r="JY464" i="121"/>
  <c r="MB464" i="121"/>
  <c r="HU464" i="121"/>
  <c r="LE464" i="121"/>
  <c r="MD464" i="121"/>
  <c r="LM464" i="121"/>
  <c r="BM461" i="121"/>
  <c r="DI461" i="121"/>
  <c r="EO461" i="121"/>
  <c r="FZ461" i="121"/>
  <c r="HF461" i="121"/>
  <c r="JL461" i="121"/>
  <c r="MN461" i="121"/>
  <c r="BQ461" i="121"/>
  <c r="DM461" i="121"/>
  <c r="ES461" i="121"/>
  <c r="GA461" i="121"/>
  <c r="HN461" i="121"/>
  <c r="JT461" i="121"/>
  <c r="MO461" i="121"/>
  <c r="Y461" i="121"/>
  <c r="BU461" i="121"/>
  <c r="DQ461" i="121"/>
  <c r="EW461" i="121"/>
  <c r="GB461" i="121"/>
  <c r="HV461" i="121"/>
  <c r="KB461" i="121"/>
  <c r="AC461" i="121"/>
  <c r="BY461" i="121"/>
  <c r="DU461" i="121"/>
  <c r="FA461" i="121"/>
  <c r="GC461" i="121"/>
  <c r="HZ461" i="121"/>
  <c r="KJ461" i="121"/>
  <c r="AG461" i="121"/>
  <c r="CC461" i="121"/>
  <c r="DY461" i="121"/>
  <c r="FE461" i="121"/>
  <c r="GD461" i="121"/>
  <c r="IA461" i="121"/>
  <c r="AT460" i="121"/>
  <c r="DB460" i="121"/>
  <c r="FJ460" i="121"/>
  <c r="GT460" i="121"/>
  <c r="ID460" i="121"/>
  <c r="BS460" i="121"/>
  <c r="DO460" i="121"/>
  <c r="FK460" i="121"/>
  <c r="GI460" i="121"/>
  <c r="IK460" i="121"/>
  <c r="EZ460" i="121"/>
  <c r="CG460" i="121"/>
  <c r="FY460" i="121"/>
  <c r="BV460" i="121"/>
  <c r="EP460" i="121"/>
  <c r="JI460" i="121"/>
  <c r="BK460" i="121"/>
  <c r="DS460" i="121"/>
  <c r="GM460" i="121"/>
  <c r="LY460" i="121"/>
  <c r="AF460" i="121"/>
  <c r="AR460" i="121"/>
  <c r="BD460" i="121"/>
  <c r="BP460" i="121"/>
  <c r="CB460" i="121"/>
  <c r="CN460" i="121"/>
  <c r="CZ460" i="121"/>
  <c r="DL460" i="121"/>
  <c r="DX460" i="121"/>
  <c r="EJ460" i="121"/>
  <c r="EV460" i="121"/>
  <c r="FH460" i="121"/>
  <c r="FT460" i="121"/>
  <c r="GF460" i="121"/>
  <c r="GR460" i="121"/>
  <c r="HD460" i="121"/>
  <c r="HP460" i="121"/>
  <c r="IB460" i="121"/>
  <c r="LE460" i="121"/>
  <c r="LR460" i="121"/>
  <c r="MD460" i="121"/>
  <c r="BF460" i="121"/>
  <c r="CP460" i="121"/>
  <c r="EX460" i="121"/>
  <c r="HF460" i="121"/>
  <c r="MH460" i="121"/>
  <c r="AI460" i="121"/>
  <c r="CE460" i="121"/>
  <c r="EA460" i="121"/>
  <c r="FW460" i="121"/>
  <c r="HG460" i="121"/>
  <c r="MK460" i="121"/>
  <c r="AJ460" i="121"/>
  <c r="DP460" i="121"/>
  <c r="LJ460" i="121"/>
  <c r="LK460" i="121"/>
  <c r="Z460" i="121"/>
  <c r="CT460" i="121"/>
  <c r="FN460" i="121"/>
  <c r="MN460" i="121"/>
  <c r="CI460" i="121"/>
  <c r="EQ460" i="121"/>
  <c r="HK460" i="121"/>
  <c r="MO460" i="121"/>
  <c r="AB460" i="121"/>
  <c r="AN460" i="121"/>
  <c r="AZ460" i="121"/>
  <c r="BL460" i="121"/>
  <c r="BX460" i="121"/>
  <c r="CJ460" i="121"/>
  <c r="CV460" i="121"/>
  <c r="DH460" i="121"/>
  <c r="DT460" i="121"/>
  <c r="EF460" i="121"/>
  <c r="ER460" i="121"/>
  <c r="FD460" i="121"/>
  <c r="FP460" i="121"/>
  <c r="GB460" i="121"/>
  <c r="GN460" i="121"/>
  <c r="GZ460" i="121"/>
  <c r="HL460" i="121"/>
  <c r="HX460" i="121"/>
  <c r="JY460" i="121"/>
  <c r="LN460" i="121"/>
  <c r="LZ460" i="121"/>
  <c r="MT460" i="121"/>
  <c r="AH460" i="121"/>
  <c r="CD460" i="121"/>
  <c r="EL460" i="121"/>
  <c r="FV460" i="121"/>
  <c r="HR460" i="121"/>
  <c r="LT460" i="121"/>
  <c r="BG460" i="121"/>
  <c r="DC460" i="121"/>
  <c r="EM460" i="121"/>
  <c r="GU460" i="121"/>
  <c r="LU460" i="121"/>
  <c r="EN460" i="121"/>
  <c r="Y460" i="121"/>
  <c r="CS460" i="121"/>
  <c r="FM460" i="121"/>
  <c r="BJ460" i="121"/>
  <c r="DR460" i="121"/>
  <c r="GL460" i="121"/>
  <c r="AY460" i="121"/>
  <c r="DG460" i="121"/>
  <c r="FO460" i="121"/>
  <c r="LM460" i="121"/>
  <c r="AC460" i="121"/>
  <c r="AO460" i="121"/>
  <c r="BA460" i="121"/>
  <c r="BM460" i="121"/>
  <c r="BY460" i="121"/>
  <c r="CK460" i="121"/>
  <c r="CW460" i="121"/>
  <c r="DI460" i="121"/>
  <c r="DU460" i="121"/>
  <c r="EG460" i="121"/>
  <c r="ES460" i="121"/>
  <c r="FE460" i="121"/>
  <c r="FQ460" i="121"/>
  <c r="GC460" i="121"/>
  <c r="GO460" i="121"/>
  <c r="HA460" i="121"/>
  <c r="HM460" i="121"/>
  <c r="HY460" i="121"/>
  <c r="KG460" i="121"/>
  <c r="LO460" i="121"/>
  <c r="MA460" i="121"/>
  <c r="BR460" i="121"/>
  <c r="DZ460" i="121"/>
  <c r="GH460" i="121"/>
  <c r="LH460" i="121"/>
  <c r="AU460" i="121"/>
  <c r="CQ460" i="121"/>
  <c r="EY460" i="121"/>
  <c r="LI460" i="121"/>
  <c r="AV460" i="121"/>
  <c r="CR460" i="121"/>
  <c r="GV460" i="121"/>
  <c r="AK460" i="121"/>
  <c r="BU460" i="121"/>
  <c r="EC460" i="121"/>
  <c r="HU460" i="121"/>
  <c r="AL460" i="121"/>
  <c r="DF460" i="121"/>
  <c r="HJ460" i="121"/>
  <c r="AA460" i="121"/>
  <c r="BW460" i="121"/>
  <c r="EE460" i="121"/>
  <c r="GA460" i="121"/>
  <c r="JQ460" i="121"/>
  <c r="AD460" i="121"/>
  <c r="AP460" i="121"/>
  <c r="BB460" i="121"/>
  <c r="BN460" i="121"/>
  <c r="BZ460" i="121"/>
  <c r="CL460" i="121"/>
  <c r="CX460" i="121"/>
  <c r="DJ460" i="121"/>
  <c r="DV460" i="121"/>
  <c r="EH460" i="121"/>
  <c r="ET460" i="121"/>
  <c r="FF460" i="121"/>
  <c r="FR460" i="121"/>
  <c r="GD460" i="121"/>
  <c r="GP460" i="121"/>
  <c r="HB460" i="121"/>
  <c r="HN460" i="121"/>
  <c r="HZ460" i="121"/>
  <c r="KO460" i="121"/>
  <c r="LP460" i="121"/>
  <c r="MB460" i="121"/>
  <c r="DN460" i="121"/>
  <c r="HS460" i="121"/>
  <c r="X460" i="121"/>
  <c r="BH460" i="121"/>
  <c r="BT460" i="121"/>
  <c r="CF460" i="121"/>
  <c r="DD460" i="121"/>
  <c r="EB460" i="121"/>
  <c r="FL460" i="121"/>
  <c r="FX460" i="121"/>
  <c r="GJ460" i="121"/>
  <c r="HH460" i="121"/>
  <c r="HT460" i="121"/>
  <c r="IS460" i="121"/>
  <c r="LV460" i="121"/>
  <c r="ML460" i="121"/>
  <c r="AW460" i="121"/>
  <c r="BI460" i="121"/>
  <c r="DE460" i="121"/>
  <c r="DQ460" i="121"/>
  <c r="EO460" i="121"/>
  <c r="FA460" i="121"/>
  <c r="GK460" i="121"/>
  <c r="GW460" i="121"/>
  <c r="HI460" i="121"/>
  <c r="JA460" i="121"/>
  <c r="LW460" i="121"/>
  <c r="MM460" i="121"/>
  <c r="AX460" i="121"/>
  <c r="CH460" i="121"/>
  <c r="ED460" i="121"/>
  <c r="FB460" i="121"/>
  <c r="FZ460" i="121"/>
  <c r="GX460" i="121"/>
  <c r="HV460" i="121"/>
  <c r="LL460" i="121"/>
  <c r="LX460" i="121"/>
  <c r="AM460" i="121"/>
  <c r="CU460" i="121"/>
  <c r="FC460" i="121"/>
  <c r="GY460" i="121"/>
  <c r="HW460" i="121"/>
  <c r="AE460" i="121"/>
  <c r="AQ460" i="121"/>
  <c r="BC460" i="121"/>
  <c r="BO460" i="121"/>
  <c r="CA460" i="121"/>
  <c r="CM460" i="121"/>
  <c r="CY460" i="121"/>
  <c r="DK460" i="121"/>
  <c r="DW460" i="121"/>
  <c r="EI460" i="121"/>
  <c r="EU460" i="121"/>
  <c r="FG460" i="121"/>
  <c r="FS460" i="121"/>
  <c r="GE460" i="121"/>
  <c r="GQ460" i="121"/>
  <c r="HC460" i="121"/>
  <c r="HO460" i="121"/>
  <c r="IA460" i="121"/>
  <c r="KW460" i="121"/>
  <c r="LQ460" i="121"/>
  <c r="HT458" i="121"/>
  <c r="AB458" i="121"/>
  <c r="AN458" i="121"/>
  <c r="AZ458" i="121"/>
  <c r="BL458" i="121"/>
  <c r="BX458" i="121"/>
  <c r="CJ458" i="121"/>
  <c r="CV458" i="121"/>
  <c r="DH458" i="121"/>
  <c r="DT458" i="121"/>
  <c r="EF458" i="121"/>
  <c r="ER458" i="121"/>
  <c r="FD458" i="121"/>
  <c r="FP458" i="121"/>
  <c r="GB458" i="121"/>
  <c r="GN458" i="121"/>
  <c r="GZ458" i="121"/>
  <c r="HL458" i="121"/>
  <c r="HX458" i="121"/>
  <c r="JI458" i="121"/>
  <c r="LI458" i="121"/>
  <c r="LU458" i="121"/>
  <c r="MK458" i="121"/>
  <c r="AG458" i="121"/>
  <c r="BQ458" i="121"/>
  <c r="DA458" i="121"/>
  <c r="DM458" i="121"/>
  <c r="DY458" i="121"/>
  <c r="EK458" i="121"/>
  <c r="EW458" i="121"/>
  <c r="FI458" i="121"/>
  <c r="FU458" i="121"/>
  <c r="GG458" i="121"/>
  <c r="GS458" i="121"/>
  <c r="HE458" i="121"/>
  <c r="HQ458" i="121"/>
  <c r="IC458" i="121"/>
  <c r="LZ458" i="121"/>
  <c r="MR458" i="121"/>
  <c r="AH458" i="121"/>
  <c r="AT458" i="121"/>
  <c r="BF458" i="121"/>
  <c r="BR458" i="121"/>
  <c r="CD458" i="121"/>
  <c r="CP458" i="121"/>
  <c r="DB458" i="121"/>
  <c r="DN458" i="121"/>
  <c r="DZ458" i="121"/>
  <c r="EL458" i="121"/>
  <c r="EX458" i="121"/>
  <c r="FJ458" i="121"/>
  <c r="FV458" i="121"/>
  <c r="GH458" i="121"/>
  <c r="GT458" i="121"/>
  <c r="HF458" i="121"/>
  <c r="HR458" i="121"/>
  <c r="ID458" i="121"/>
  <c r="KO458" i="121"/>
  <c r="LO458" i="121"/>
  <c r="MA458" i="121"/>
  <c r="BD458" i="121"/>
  <c r="BP458" i="121"/>
  <c r="CN458" i="121"/>
  <c r="DL458" i="121"/>
  <c r="EJ458" i="121"/>
  <c r="FH458" i="121"/>
  <c r="GF458" i="121"/>
  <c r="HP458" i="121"/>
  <c r="KE458" i="121"/>
  <c r="MO458" i="121"/>
  <c r="AS458" i="121"/>
  <c r="CO458" i="121"/>
  <c r="LN458" i="121"/>
  <c r="AU458" i="121"/>
  <c r="BS458" i="121"/>
  <c r="CQ458" i="121"/>
  <c r="DO458" i="121"/>
  <c r="EM458" i="121"/>
  <c r="FK458" i="121"/>
  <c r="GI458" i="121"/>
  <c r="GU458" i="121"/>
  <c r="HS458" i="121"/>
  <c r="II458" i="121"/>
  <c r="LP458" i="121"/>
  <c r="AJ458" i="121"/>
  <c r="BH458" i="121"/>
  <c r="BT458" i="121"/>
  <c r="CR458" i="121"/>
  <c r="DP458" i="121"/>
  <c r="EN458" i="121"/>
  <c r="GJ458" i="121"/>
  <c r="GV458" i="121"/>
  <c r="HH458" i="121"/>
  <c r="MC458" i="121"/>
  <c r="KZ458" i="121"/>
  <c r="Y458" i="121"/>
  <c r="AK458" i="121"/>
  <c r="AW458" i="121"/>
  <c r="BI458" i="121"/>
  <c r="BU458" i="121"/>
  <c r="CG458" i="121"/>
  <c r="CS458" i="121"/>
  <c r="DE458" i="121"/>
  <c r="DQ458" i="121"/>
  <c r="EC458" i="121"/>
  <c r="EO458" i="121"/>
  <c r="FA458" i="121"/>
  <c r="FM458" i="121"/>
  <c r="FY458" i="121"/>
  <c r="GK458" i="121"/>
  <c r="GW458" i="121"/>
  <c r="HI458" i="121"/>
  <c r="HU458" i="121"/>
  <c r="IS458" i="121"/>
  <c r="LE458" i="121"/>
  <c r="LR458" i="121"/>
  <c r="MD458" i="121"/>
  <c r="IN458" i="121"/>
  <c r="Z458" i="121"/>
  <c r="AL458" i="121"/>
  <c r="AX458" i="121"/>
  <c r="BJ458" i="121"/>
  <c r="BV458" i="121"/>
  <c r="CH458" i="121"/>
  <c r="CT458" i="121"/>
  <c r="DF458" i="121"/>
  <c r="DR458" i="121"/>
  <c r="ED458" i="121"/>
  <c r="EP458" i="121"/>
  <c r="FB458" i="121"/>
  <c r="FN458" i="121"/>
  <c r="FZ458" i="121"/>
  <c r="GL458" i="121"/>
  <c r="GX458" i="121"/>
  <c r="HJ458" i="121"/>
  <c r="HV458" i="121"/>
  <c r="IY458" i="121"/>
  <c r="LG458" i="121"/>
  <c r="LS458" i="121"/>
  <c r="ME458" i="121"/>
  <c r="AF458" i="121"/>
  <c r="AR458" i="121"/>
  <c r="CB458" i="121"/>
  <c r="CZ458" i="121"/>
  <c r="DX458" i="121"/>
  <c r="EV458" i="121"/>
  <c r="FT458" i="121"/>
  <c r="GR458" i="121"/>
  <c r="HD458" i="121"/>
  <c r="IB458" i="121"/>
  <c r="LM458" i="121"/>
  <c r="LY458" i="121"/>
  <c r="BE458" i="121"/>
  <c r="CC458" i="121"/>
  <c r="KJ458" i="121"/>
  <c r="AI458" i="121"/>
  <c r="BG458" i="121"/>
  <c r="CE458" i="121"/>
  <c r="DC458" i="121"/>
  <c r="EA458" i="121"/>
  <c r="EY458" i="121"/>
  <c r="FW458" i="121"/>
  <c r="HG458" i="121"/>
  <c r="KU458" i="121"/>
  <c r="MB458" i="121"/>
  <c r="X458" i="121"/>
  <c r="AV458" i="121"/>
  <c r="CF458" i="121"/>
  <c r="DD458" i="121"/>
  <c r="EB458" i="121"/>
  <c r="EZ458" i="121"/>
  <c r="FL458" i="121"/>
  <c r="FX458" i="121"/>
  <c r="LQ458" i="121"/>
  <c r="AA458" i="121"/>
  <c r="AM458" i="121"/>
  <c r="AY458" i="121"/>
  <c r="BK458" i="121"/>
  <c r="BW458" i="121"/>
  <c r="CI458" i="121"/>
  <c r="CU458" i="121"/>
  <c r="DG458" i="121"/>
  <c r="DS458" i="121"/>
  <c r="EE458" i="121"/>
  <c r="EQ458" i="121"/>
  <c r="FC458" i="121"/>
  <c r="FO458" i="121"/>
  <c r="GA458" i="121"/>
  <c r="GM458" i="121"/>
  <c r="GY458" i="121"/>
  <c r="HK458" i="121"/>
  <c r="HW458" i="121"/>
  <c r="JD458" i="121"/>
  <c r="LH458" i="121"/>
  <c r="LT458" i="121"/>
  <c r="AH456" i="121"/>
  <c r="AT456" i="121"/>
  <c r="BF456" i="121"/>
  <c r="BR456" i="121"/>
  <c r="CD456" i="121"/>
  <c r="CP456" i="121"/>
  <c r="DB456" i="121"/>
  <c r="DN456" i="121"/>
  <c r="DZ456" i="121"/>
  <c r="EL456" i="121"/>
  <c r="EX456" i="121"/>
  <c r="FJ456" i="121"/>
  <c r="FV456" i="121"/>
  <c r="GH456" i="121"/>
  <c r="GT456" i="121"/>
  <c r="HF456" i="121"/>
  <c r="HR456" i="121"/>
  <c r="ID456" i="121"/>
  <c r="ID487" i="121" s="1"/>
  <c r="KM456" i="121"/>
  <c r="LO456" i="121"/>
  <c r="MA456" i="121"/>
  <c r="AI456" i="121"/>
  <c r="AU456" i="121"/>
  <c r="BG456" i="121"/>
  <c r="BS456" i="121"/>
  <c r="CE456" i="121"/>
  <c r="CQ456" i="121"/>
  <c r="DC456" i="121"/>
  <c r="DO456" i="121"/>
  <c r="EA456" i="121"/>
  <c r="EM456" i="121"/>
  <c r="EY456" i="121"/>
  <c r="FK456" i="121"/>
  <c r="FW456" i="121"/>
  <c r="GI456" i="121"/>
  <c r="GU456" i="121"/>
  <c r="HS456" i="121"/>
  <c r="IF456" i="121"/>
  <c r="KR456" i="121"/>
  <c r="LP456" i="121"/>
  <c r="MB456" i="121"/>
  <c r="X456" i="121"/>
  <c r="AJ456" i="121"/>
  <c r="AV456" i="121"/>
  <c r="BH456" i="121"/>
  <c r="BT456" i="121"/>
  <c r="CF456" i="121"/>
  <c r="CR456" i="121"/>
  <c r="DD456" i="121"/>
  <c r="DP456" i="121"/>
  <c r="EB456" i="121"/>
  <c r="EN456" i="121"/>
  <c r="EZ456" i="121"/>
  <c r="FL456" i="121"/>
  <c r="FX456" i="121"/>
  <c r="GJ456" i="121"/>
  <c r="GV456" i="121"/>
  <c r="HH456" i="121"/>
  <c r="HT456" i="121"/>
  <c r="IK456" i="121"/>
  <c r="KW456" i="121"/>
  <c r="LQ456" i="121"/>
  <c r="MC456" i="121"/>
  <c r="HG456" i="121"/>
  <c r="Y456" i="121"/>
  <c r="AK456" i="121"/>
  <c r="AW456" i="121"/>
  <c r="BI456" i="121"/>
  <c r="BU456" i="121"/>
  <c r="CG456" i="121"/>
  <c r="CS456" i="121"/>
  <c r="DE456" i="121"/>
  <c r="DQ456" i="121"/>
  <c r="EC456" i="121"/>
  <c r="EO456" i="121"/>
  <c r="FA456" i="121"/>
  <c r="FM456" i="121"/>
  <c r="FY456" i="121"/>
  <c r="GK456" i="121"/>
  <c r="GW456" i="121"/>
  <c r="HI456" i="121"/>
  <c r="HU456" i="121"/>
  <c r="IQ456" i="121"/>
  <c r="LC456" i="121"/>
  <c r="LR456" i="121"/>
  <c r="MD456" i="121"/>
  <c r="Z456" i="121"/>
  <c r="AL456" i="121"/>
  <c r="AX456" i="121"/>
  <c r="BJ456" i="121"/>
  <c r="BV456" i="121"/>
  <c r="CH456" i="121"/>
  <c r="CT456" i="121"/>
  <c r="DF456" i="121"/>
  <c r="DR456" i="121"/>
  <c r="ED456" i="121"/>
  <c r="EP456" i="121"/>
  <c r="FB456" i="121"/>
  <c r="FN456" i="121"/>
  <c r="FZ456" i="121"/>
  <c r="GL456" i="121"/>
  <c r="GX456" i="121"/>
  <c r="HJ456" i="121"/>
  <c r="HV456" i="121"/>
  <c r="IV456" i="121"/>
  <c r="LG456" i="121"/>
  <c r="LS456" i="121"/>
  <c r="ME456" i="121"/>
  <c r="AA456" i="121"/>
  <c r="AM456" i="121"/>
  <c r="AY456" i="121"/>
  <c r="BK456" i="121"/>
  <c r="BW456" i="121"/>
  <c r="CI456" i="121"/>
  <c r="CU456" i="121"/>
  <c r="DG456" i="121"/>
  <c r="DS456" i="121"/>
  <c r="EE456" i="121"/>
  <c r="EQ456" i="121"/>
  <c r="FC456" i="121"/>
  <c r="FO456" i="121"/>
  <c r="GA456" i="121"/>
  <c r="GM456" i="121"/>
  <c r="GY456" i="121"/>
  <c r="HK456" i="121"/>
  <c r="HW456" i="121"/>
  <c r="JA456" i="121"/>
  <c r="LH456" i="121"/>
  <c r="LT456" i="121"/>
  <c r="MF456" i="121"/>
  <c r="AB456" i="121"/>
  <c r="AN456" i="121"/>
  <c r="AZ456" i="121"/>
  <c r="BL456" i="121"/>
  <c r="BX456" i="121"/>
  <c r="CJ456" i="121"/>
  <c r="CV456" i="121"/>
  <c r="DH456" i="121"/>
  <c r="DT456" i="121"/>
  <c r="EF456" i="121"/>
  <c r="ER456" i="121"/>
  <c r="FD456" i="121"/>
  <c r="FP456" i="121"/>
  <c r="GB456" i="121"/>
  <c r="GN456" i="121"/>
  <c r="GZ456" i="121"/>
  <c r="HL456" i="121"/>
  <c r="HX456" i="121"/>
  <c r="JG456" i="121"/>
  <c r="LI456" i="121"/>
  <c r="LU456" i="121"/>
  <c r="AO466" i="121"/>
  <c r="BA466" i="121"/>
  <c r="BY466" i="121"/>
  <c r="DI466" i="121"/>
  <c r="ES466" i="121"/>
  <c r="FQ466" i="121"/>
  <c r="GO466" i="121"/>
  <c r="HM466" i="121"/>
  <c r="HY466" i="121"/>
  <c r="LT466" i="121"/>
  <c r="AD466" i="121"/>
  <c r="AP466" i="121"/>
  <c r="BB466" i="121"/>
  <c r="BN466" i="121"/>
  <c r="CL466" i="121"/>
  <c r="CX466" i="121"/>
  <c r="DJ466" i="121"/>
  <c r="DV466" i="121"/>
  <c r="ET466" i="121"/>
  <c r="FR466" i="121"/>
  <c r="GP466" i="121"/>
  <c r="HB466" i="121"/>
  <c r="HN466" i="121"/>
  <c r="LI466" i="121"/>
  <c r="LU466" i="121"/>
  <c r="AE466" i="121"/>
  <c r="AQ466" i="121"/>
  <c r="BC466" i="121"/>
  <c r="BO466" i="121"/>
  <c r="CA466" i="121"/>
  <c r="CM466" i="121"/>
  <c r="CY466" i="121"/>
  <c r="DK466" i="121"/>
  <c r="DW466" i="121"/>
  <c r="EI466" i="121"/>
  <c r="EU466" i="121"/>
  <c r="FG466" i="121"/>
  <c r="FS466" i="121"/>
  <c r="GQ466" i="121"/>
  <c r="HC466" i="121"/>
  <c r="HO466" i="121"/>
  <c r="LJ466" i="121"/>
  <c r="LV466" i="121"/>
  <c r="BM466" i="121"/>
  <c r="CK466" i="121"/>
  <c r="CW466" i="121"/>
  <c r="FE466" i="121"/>
  <c r="HA466" i="121"/>
  <c r="LH466" i="121"/>
  <c r="FF466" i="121"/>
  <c r="AF466" i="121"/>
  <c r="AR466" i="121"/>
  <c r="BD466" i="121"/>
  <c r="BP466" i="121"/>
  <c r="CB466" i="121"/>
  <c r="CN466" i="121"/>
  <c r="CZ466" i="121"/>
  <c r="DL466" i="121"/>
  <c r="DX466" i="121"/>
  <c r="EJ466" i="121"/>
  <c r="EV466" i="121"/>
  <c r="FH466" i="121"/>
  <c r="FT466" i="121"/>
  <c r="GR466" i="121"/>
  <c r="HD466" i="121"/>
  <c r="HP466" i="121"/>
  <c r="LK466" i="121"/>
  <c r="LW466" i="121"/>
  <c r="DU466" i="121"/>
  <c r="BZ466" i="121"/>
  <c r="AG466" i="121"/>
  <c r="AS466" i="121"/>
  <c r="BE466" i="121"/>
  <c r="BQ466" i="121"/>
  <c r="CC466" i="121"/>
  <c r="CO466" i="121"/>
  <c r="DA466" i="121"/>
  <c r="DM466" i="121"/>
  <c r="DY466" i="121"/>
  <c r="EK466" i="121"/>
  <c r="EW466" i="121"/>
  <c r="FI466" i="121"/>
  <c r="FU466" i="121"/>
  <c r="GG466" i="121"/>
  <c r="GS466" i="121"/>
  <c r="HE466" i="121"/>
  <c r="HQ466" i="121"/>
  <c r="LL466" i="121"/>
  <c r="LX466" i="121"/>
  <c r="AI466" i="121"/>
  <c r="AU466" i="121"/>
  <c r="BG466" i="121"/>
  <c r="BS466" i="121"/>
  <c r="CE466" i="121"/>
  <c r="CQ466" i="121"/>
  <c r="DC466" i="121"/>
  <c r="DO466" i="121"/>
  <c r="EA466" i="121"/>
  <c r="EM466" i="121"/>
  <c r="EY466" i="121"/>
  <c r="FK466" i="121"/>
  <c r="GI466" i="121"/>
  <c r="GU466" i="121"/>
  <c r="HG466" i="121"/>
  <c r="HS466" i="121"/>
  <c r="LN466" i="121"/>
  <c r="LZ466" i="121"/>
  <c r="AC466" i="121"/>
  <c r="AH466" i="121"/>
  <c r="AT466" i="121"/>
  <c r="BF466" i="121"/>
  <c r="BR466" i="121"/>
  <c r="CD466" i="121"/>
  <c r="CP466" i="121"/>
  <c r="DB466" i="121"/>
  <c r="DN466" i="121"/>
  <c r="DZ466" i="121"/>
  <c r="EL466" i="121"/>
  <c r="EX466" i="121"/>
  <c r="FJ466" i="121"/>
  <c r="FV466" i="121"/>
  <c r="GH466" i="121"/>
  <c r="GT466" i="121"/>
  <c r="HF466" i="121"/>
  <c r="HR466" i="121"/>
  <c r="LM466" i="121"/>
  <c r="LY466" i="121"/>
  <c r="X466" i="121"/>
  <c r="AJ466" i="121"/>
  <c r="AV466" i="121"/>
  <c r="BH466" i="121"/>
  <c r="BT466" i="121"/>
  <c r="CF466" i="121"/>
  <c r="CR466" i="121"/>
  <c r="DD466" i="121"/>
  <c r="DP466" i="121"/>
  <c r="EB466" i="121"/>
  <c r="EN466" i="121"/>
  <c r="EZ466" i="121"/>
  <c r="FL466" i="121"/>
  <c r="GJ466" i="121"/>
  <c r="GV466" i="121"/>
  <c r="HH466" i="121"/>
  <c r="HT466" i="121"/>
  <c r="LO466" i="121"/>
  <c r="BV465" i="121"/>
  <c r="BF465" i="121"/>
  <c r="BN465" i="121"/>
  <c r="CD465" i="121"/>
  <c r="EL465" i="121"/>
  <c r="CL465" i="121"/>
  <c r="ET465" i="121"/>
  <c r="CT465" i="121"/>
  <c r="FB465" i="121"/>
  <c r="DB465" i="121"/>
  <c r="FJ465" i="121"/>
  <c r="GL465" i="121"/>
  <c r="AN464" i="121"/>
  <c r="CJ464" i="121"/>
  <c r="FD464" i="121"/>
  <c r="GZ464" i="121"/>
  <c r="HX464" i="121"/>
  <c r="AC464" i="121"/>
  <c r="AO464" i="121"/>
  <c r="BA464" i="121"/>
  <c r="BM464" i="121"/>
  <c r="BY464" i="121"/>
  <c r="CK464" i="121"/>
  <c r="CW464" i="121"/>
  <c r="DI464" i="121"/>
  <c r="DU464" i="121"/>
  <c r="ES464" i="121"/>
  <c r="FE464" i="121"/>
  <c r="FQ464" i="121"/>
  <c r="GO464" i="121"/>
  <c r="HA464" i="121"/>
  <c r="HM464" i="121"/>
  <c r="HY464" i="121"/>
  <c r="LH464" i="121"/>
  <c r="LT464" i="121"/>
  <c r="AB464" i="121"/>
  <c r="BX464" i="121"/>
  <c r="CV464" i="121"/>
  <c r="FP464" i="121"/>
  <c r="ME464" i="121"/>
  <c r="AD464" i="121"/>
  <c r="AP464" i="121"/>
  <c r="BB464" i="121"/>
  <c r="BN464" i="121"/>
  <c r="BZ464" i="121"/>
  <c r="CL464" i="121"/>
  <c r="CX464" i="121"/>
  <c r="DJ464" i="121"/>
  <c r="DV464" i="121"/>
  <c r="ET464" i="121"/>
  <c r="FF464" i="121"/>
  <c r="FR464" i="121"/>
  <c r="GP464" i="121"/>
  <c r="HB464" i="121"/>
  <c r="HN464" i="121"/>
  <c r="LI464" i="121"/>
  <c r="LU464" i="121"/>
  <c r="AZ464" i="121"/>
  <c r="DT464" i="121"/>
  <c r="GN464" i="121"/>
  <c r="LS464" i="121"/>
  <c r="AE464" i="121"/>
  <c r="AQ464" i="121"/>
  <c r="BC464" i="121"/>
  <c r="BO464" i="121"/>
  <c r="CA464" i="121"/>
  <c r="CM464" i="121"/>
  <c r="CY464" i="121"/>
  <c r="DK464" i="121"/>
  <c r="DW464" i="121"/>
  <c r="EI464" i="121"/>
  <c r="EU464" i="121"/>
  <c r="FG464" i="121"/>
  <c r="FS464" i="121"/>
  <c r="GQ464" i="121"/>
  <c r="HC464" i="121"/>
  <c r="HO464" i="121"/>
  <c r="LJ464" i="121"/>
  <c r="LV464" i="121"/>
  <c r="BL464" i="121"/>
  <c r="DH464" i="121"/>
  <c r="ER464" i="121"/>
  <c r="LG464" i="121"/>
  <c r="AF464" i="121"/>
  <c r="AR464" i="121"/>
  <c r="BD464" i="121"/>
  <c r="BP464" i="121"/>
  <c r="CB464" i="121"/>
  <c r="CN464" i="121"/>
  <c r="CZ464" i="121"/>
  <c r="DL464" i="121"/>
  <c r="DX464" i="121"/>
  <c r="EJ464" i="121"/>
  <c r="EV464" i="121"/>
  <c r="FH464" i="121"/>
  <c r="FT464" i="121"/>
  <c r="GR464" i="121"/>
  <c r="HD464" i="121"/>
  <c r="HP464" i="121"/>
  <c r="LK464" i="121"/>
  <c r="LW464" i="121"/>
  <c r="HL464" i="121"/>
  <c r="AG464" i="121"/>
  <c r="AS464" i="121"/>
  <c r="BE464" i="121"/>
  <c r="BQ464" i="121"/>
  <c r="CC464" i="121"/>
  <c r="CO464" i="121"/>
  <c r="DA464" i="121"/>
  <c r="DM464" i="121"/>
  <c r="DY464" i="121"/>
  <c r="EK464" i="121"/>
  <c r="EW464" i="121"/>
  <c r="FI464" i="121"/>
  <c r="FU464" i="121"/>
  <c r="GG464" i="121"/>
  <c r="GS464" i="121"/>
  <c r="HE464" i="121"/>
  <c r="HQ464" i="121"/>
  <c r="LL464" i="121"/>
  <c r="K412" i="121"/>
  <c r="L412" i="121"/>
  <c r="M299" i="121"/>
  <c r="J301" i="121"/>
  <c r="E218" i="121" s="1"/>
  <c r="Q1213"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P128" i="121"/>
  <c r="G134" i="121"/>
  <c r="G146" i="121"/>
  <c r="E150" i="121" s="1"/>
  <c r="M146" i="121"/>
  <c r="S146" i="121"/>
  <c r="G151" i="121"/>
  <c r="G153" i="121" s="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A237" i="121"/>
  <c r="N1385" i="121"/>
  <c r="J1414" i="121"/>
  <c r="K1395" i="121"/>
  <c r="J1452" i="121"/>
  <c r="F147" i="121"/>
  <c r="D151" i="121"/>
  <c r="E1167" i="121"/>
  <c r="C721" i="121"/>
  <c r="C723" i="121"/>
  <c r="L1237" i="121"/>
  <c r="D716" i="121"/>
  <c r="D723" i="121"/>
  <c r="D721" i="121"/>
  <c r="D715" i="121"/>
  <c r="E714" i="121"/>
  <c r="C716" i="121"/>
  <c r="E148" i="121"/>
  <c r="MN487" i="121" l="1"/>
  <c r="ML487" i="121"/>
  <c r="MM487" i="121"/>
  <c r="EH487" i="121"/>
  <c r="O504" i="121" s="1"/>
  <c r="GC487" i="121"/>
  <c r="L609" i="121" s="1"/>
  <c r="EO487" i="121"/>
  <c r="L600" i="121" s="1"/>
  <c r="IB487" i="121"/>
  <c r="GE487" i="121"/>
  <c r="N609" i="121" s="1"/>
  <c r="EF487" i="121"/>
  <c r="M504" i="121" s="1"/>
  <c r="IC487" i="121"/>
  <c r="FX487" i="121"/>
  <c r="HZ487" i="121"/>
  <c r="GB487" i="121"/>
  <c r="K609" i="121" s="1"/>
  <c r="EG487" i="121"/>
  <c r="N504" i="121" s="1"/>
  <c r="FY487" i="121"/>
  <c r="IE487" i="121"/>
  <c r="K578" i="121" s="1"/>
  <c r="LE487" i="121"/>
  <c r="N577" i="121" s="1"/>
  <c r="IX487" i="121"/>
  <c r="O585" i="121" s="1"/>
  <c r="GD487" i="121"/>
  <c r="M609" i="121" s="1"/>
  <c r="JM487" i="121"/>
  <c r="O580" i="121" s="1"/>
  <c r="O591" i="121" s="1"/>
  <c r="IA487" i="121"/>
  <c r="KO487" i="121"/>
  <c r="M574" i="121" s="1"/>
  <c r="AW487" i="121"/>
  <c r="K499" i="121" s="1"/>
  <c r="MH487" i="121"/>
  <c r="LY487" i="121"/>
  <c r="BI487" i="121"/>
  <c r="M502" i="121" s="1"/>
  <c r="GF487" i="121"/>
  <c r="O609" i="121" s="1"/>
  <c r="ET487" i="121"/>
  <c r="L601" i="121" s="1"/>
  <c r="MO487" i="121"/>
  <c r="MK487" i="121"/>
  <c r="ED487" i="121"/>
  <c r="K504" i="121" s="1"/>
  <c r="JI487" i="121"/>
  <c r="K580" i="121" s="1"/>
  <c r="K591" i="121" s="1"/>
  <c r="MF487" i="121"/>
  <c r="IV487" i="121"/>
  <c r="M585" i="121" s="1"/>
  <c r="JR487" i="121"/>
  <c r="O581" i="121" s="1"/>
  <c r="O592" i="121" s="1"/>
  <c r="IS487" i="121"/>
  <c r="O584" i="121" s="1"/>
  <c r="HI487" i="121"/>
  <c r="EE487" i="121"/>
  <c r="L504" i="121" s="1"/>
  <c r="LX487" i="121"/>
  <c r="CN487" i="121"/>
  <c r="N532" i="121" s="1"/>
  <c r="ES487" i="121"/>
  <c r="K601" i="121" s="1"/>
  <c r="HF487" i="121"/>
  <c r="GX487" i="121"/>
  <c r="M554" i="121" s="1"/>
  <c r="CC487" i="121"/>
  <c r="M534" i="121" s="1"/>
  <c r="BX487" i="121"/>
  <c r="M535" i="121" s="1"/>
  <c r="DI487" i="121"/>
  <c r="O546" i="121" s="1"/>
  <c r="HM487" i="121"/>
  <c r="M557" i="121" s="1"/>
  <c r="FT487" i="121"/>
  <c r="M607" i="121" s="1"/>
  <c r="DT487" i="121"/>
  <c r="K543" i="121" s="1"/>
  <c r="AB487" i="121"/>
  <c r="O494" i="121" s="1"/>
  <c r="BJ487" i="121"/>
  <c r="N502" i="121" s="1"/>
  <c r="FD487" i="121"/>
  <c r="L603" i="121" s="1"/>
  <c r="BH487" i="121"/>
  <c r="L502" i="121" s="1"/>
  <c r="LP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E151" i="121"/>
  <c r="G147" i="121" s="1"/>
  <c r="P682" i="121" l="1"/>
  <c r="N596" i="121"/>
  <c r="K595" i="121"/>
  <c r="P609" i="121"/>
  <c r="M593" i="121"/>
  <c r="L595" i="121"/>
  <c r="Q682" i="121"/>
  <c r="M596" i="121"/>
  <c r="O590" i="121"/>
  <c r="P578" i="121"/>
  <c r="N594" i="121"/>
  <c r="P504" i="121"/>
  <c r="M594" i="121"/>
  <c r="M590" i="121"/>
  <c r="L563" i="121"/>
  <c r="Q681" i="121"/>
  <c r="K589" i="121"/>
  <c r="P585" i="121"/>
  <c r="N569" i="121"/>
  <c r="M595" i="121"/>
  <c r="O595" i="121"/>
  <c r="O596" i="121"/>
  <c r="L589" i="121"/>
  <c r="O563" i="121"/>
  <c r="P592" i="121"/>
  <c r="O593" i="121"/>
  <c r="K594" i="121"/>
  <c r="K590" i="121"/>
  <c r="L593" i="121"/>
  <c r="P576" i="121"/>
  <c r="P681" i="121"/>
  <c r="P579" i="121"/>
  <c r="P574" i="121"/>
  <c r="N589" i="121"/>
  <c r="L590" i="121"/>
  <c r="P683" i="121"/>
  <c r="P575" i="121"/>
  <c r="Q683" i="121"/>
  <c r="N590" i="121"/>
  <c r="P577" i="121"/>
  <c r="P571" i="121"/>
  <c r="N563" i="121"/>
  <c r="L594" i="121"/>
  <c r="N593" i="121"/>
  <c r="O569" i="121"/>
  <c r="N595" i="121"/>
  <c r="M563" i="121"/>
  <c r="P581" i="121"/>
  <c r="P572" i="121"/>
  <c r="M556" i="121"/>
  <c r="P535" i="121"/>
  <c r="P543" i="121"/>
  <c r="P558" i="121"/>
  <c r="O556" i="121"/>
  <c r="O553" i="121"/>
  <c r="F165"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K505"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3" i="121" l="1"/>
  <c r="P594" i="121"/>
  <c r="P569" i="121"/>
  <c r="P590" i="121"/>
  <c r="P595" i="121"/>
  <c r="P563" i="121"/>
  <c r="P684" i="121" s="1"/>
  <c r="P589" i="121"/>
  <c r="O514" i="121"/>
  <c r="P503" i="121"/>
  <c r="L511" i="121"/>
  <c r="L517" i="121"/>
  <c r="O511" i="121"/>
  <c r="O523" i="12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F717" i="121"/>
  <c r="F720" i="121"/>
  <c r="F725" i="121" s="1"/>
  <c r="F733" i="121" s="1"/>
  <c r="H714" i="121"/>
  <c r="G716" i="121"/>
  <c r="G723" i="121"/>
  <c r="G715" i="121"/>
  <c r="G721" i="121"/>
  <c r="P505" i="121"/>
  <c r="K508" i="121"/>
  <c r="K520" i="121"/>
  <c r="K514" i="121"/>
  <c r="K511" i="121"/>
  <c r="K523" i="121"/>
  <c r="K526" i="121"/>
  <c r="K517" i="121"/>
  <c r="K610" i="121"/>
  <c r="P610" i="121" s="1"/>
  <c r="K617" i="121" s="1"/>
  <c r="P608" i="121"/>
  <c r="P685" i="121" l="1"/>
  <c r="Q684" i="121"/>
  <c r="Q685" i="121" s="1"/>
  <c r="Q676" i="121" s="1"/>
  <c r="N677" i="121" s="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Q677" i="121" l="1"/>
  <c r="H720" i="12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M67" i="85"/>
  <c r="C33" i="100"/>
  <c r="B33" i="100"/>
  <c r="C32" i="100"/>
  <c r="B32" i="100"/>
  <c r="C31" i="100"/>
  <c r="B31" i="100"/>
  <c r="C30" i="100"/>
  <c r="C25" i="100"/>
  <c r="B25" i="100"/>
  <c r="L11" i="95"/>
  <c r="G11" i="91"/>
  <c r="E97" i="90"/>
  <c r="E93" i="90"/>
  <c r="O67" i="85"/>
  <c r="L67" i="85"/>
  <c r="H15" i="100"/>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E108" i="107"/>
  <c r="J108" i="107" s="1"/>
  <c r="B106" i="107"/>
  <c r="D40" i="107"/>
  <c r="D39" i="107"/>
  <c r="D38" i="107"/>
  <c r="J27" i="105"/>
  <c r="C44" i="9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23" i="111"/>
  <c r="E123" i="111"/>
  <c r="D123" i="111"/>
  <c r="C123" i="111"/>
  <c r="B123" i="111"/>
  <c r="K106" i="111"/>
  <c r="J106" i="111"/>
  <c r="I106" i="111"/>
  <c r="H106" i="111"/>
  <c r="G106" i="111"/>
  <c r="F106" i="111"/>
  <c r="E106" i="111"/>
  <c r="D106" i="111"/>
  <c r="C106" i="111"/>
  <c r="B106" i="111"/>
  <c r="K93" i="111"/>
  <c r="J93" i="111"/>
  <c r="I93" i="111"/>
  <c r="H93" i="111"/>
  <c r="G93" i="111"/>
  <c r="F93" i="111"/>
  <c r="E93" i="111"/>
  <c r="D93" i="111"/>
  <c r="C93" i="111"/>
  <c r="B93" i="111"/>
  <c r="K76" i="111"/>
  <c r="K776" i="121" s="1"/>
  <c r="J76" i="111"/>
  <c r="J776" i="121" s="1"/>
  <c r="I76" i="111"/>
  <c r="I776" i="121" s="1"/>
  <c r="H76" i="111"/>
  <c r="H776" i="121" s="1"/>
  <c r="K75" i="111"/>
  <c r="J75" i="111"/>
  <c r="I75" i="111"/>
  <c r="H75" i="111"/>
  <c r="G75" i="111"/>
  <c r="F75" i="111"/>
  <c r="E75" i="111"/>
  <c r="D75" i="111"/>
  <c r="C75" i="111"/>
  <c r="B75" i="111"/>
  <c r="K61" i="111"/>
  <c r="K69" i="111" s="1"/>
  <c r="J61" i="111"/>
  <c r="I61" i="111"/>
  <c r="H61" i="111"/>
  <c r="G61" i="111"/>
  <c r="G69" i="111" s="1"/>
  <c r="F61" i="111"/>
  <c r="E61" i="111"/>
  <c r="D61" i="111"/>
  <c r="C61" i="111"/>
  <c r="C69" i="111" s="1"/>
  <c r="B61" i="111"/>
  <c r="K43" i="111"/>
  <c r="J43" i="111"/>
  <c r="I43" i="111"/>
  <c r="H43" i="111"/>
  <c r="G43" i="111"/>
  <c r="F43" i="111"/>
  <c r="E43" i="111"/>
  <c r="D43" i="111"/>
  <c r="C43" i="111"/>
  <c r="B43" i="111"/>
  <c r="A36" i="111"/>
  <c r="A68" i="111" s="1"/>
  <c r="A99" i="111" s="1"/>
  <c r="A129" i="111" s="1"/>
  <c r="A35" i="111"/>
  <c r="A67" i="111" s="1"/>
  <c r="A98" i="111" s="1"/>
  <c r="A128" i="111" s="1"/>
  <c r="A34" i="111"/>
  <c r="A66" i="111" s="1"/>
  <c r="A97" i="111" s="1"/>
  <c r="A127" i="111" s="1"/>
  <c r="K29" i="111"/>
  <c r="J29" i="111"/>
  <c r="I29" i="111"/>
  <c r="H29" i="111"/>
  <c r="G29" i="111"/>
  <c r="F29" i="111"/>
  <c r="F37" i="111" s="1"/>
  <c r="E29" i="111"/>
  <c r="D29" i="111"/>
  <c r="C29" i="111"/>
  <c r="B29" i="111"/>
  <c r="B37"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O222" i="112" s="1"/>
  <c r="P222" i="112"/>
  <c r="L221" i="112"/>
  <c r="L220" i="112"/>
  <c r="Q219" i="112"/>
  <c r="Q218"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F130" i="111"/>
  <c r="D130" i="111"/>
  <c r="C130" i="111"/>
  <c r="B130" i="111"/>
  <c r="J100" i="111"/>
  <c r="K100" i="111"/>
  <c r="I100" i="111"/>
  <c r="H100" i="111"/>
  <c r="G100" i="111"/>
  <c r="F100" i="111"/>
  <c r="E100" i="111"/>
  <c r="D100" i="111"/>
  <c r="C100" i="111"/>
  <c r="B100" i="111"/>
  <c r="A69" i="111"/>
  <c r="A100" i="111" s="1"/>
  <c r="A130" i="111" s="1"/>
  <c r="J69" i="111"/>
  <c r="I69" i="111"/>
  <c r="H69" i="111"/>
  <c r="F69" i="111"/>
  <c r="E69" i="111"/>
  <c r="D69" i="111"/>
  <c r="B69" i="111"/>
  <c r="A61" i="111"/>
  <c r="A93" i="111" s="1"/>
  <c r="A123" i="111" s="1"/>
  <c r="A60" i="111"/>
  <c r="A92" i="111" s="1"/>
  <c r="A122" i="111" s="1"/>
  <c r="A59" i="111"/>
  <c r="A91" i="111" s="1"/>
  <c r="A121" i="111" s="1"/>
  <c r="A58" i="111"/>
  <c r="A90" i="111" s="1"/>
  <c r="A120" i="111" s="1"/>
  <c r="K37" i="111"/>
  <c r="G37" i="111"/>
  <c r="D37" i="111"/>
  <c r="C37" i="111"/>
  <c r="B31" i="111"/>
  <c r="C31" i="111" s="1"/>
  <c r="J37" i="111"/>
  <c r="I37" i="111"/>
  <c r="H37" i="111"/>
  <c r="E37"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1" i="106" s="1"/>
  <c r="N51" i="106"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G43" i="107" s="1"/>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M18" i="107"/>
  <c r="M146" i="107" s="1"/>
  <c r="M162" i="107" s="1"/>
  <c r="M164" i="107" s="1"/>
  <c r="M166" i="107" s="1"/>
  <c r="J18" i="107"/>
  <c r="G18" i="107"/>
  <c r="U17" i="107"/>
  <c r="A17" i="107"/>
  <c r="U16" i="107"/>
  <c r="A16" i="107"/>
  <c r="U15" i="107"/>
  <c r="A15" i="107"/>
  <c r="W8" i="107"/>
  <c r="O8" i="107"/>
  <c r="V6" i="107"/>
  <c r="I60" i="106"/>
  <c r="J177" i="107" s="1"/>
  <c r="P88" i="121"/>
  <c r="P43" i="106"/>
  <c r="P85" i="121"/>
  <c r="P40" i="106"/>
  <c r="P83" i="121" s="1"/>
  <c r="S37" i="106"/>
  <c r="L33" i="106"/>
  <c r="S19" i="106"/>
  <c r="S4" i="106"/>
  <c r="K29" i="105"/>
  <c r="K28" i="121" s="1"/>
  <c r="D31" i="111" l="1"/>
  <c r="C53" i="82"/>
  <c r="C731" i="121"/>
  <c r="B53" i="82"/>
  <c r="B731" i="121"/>
  <c r="K144" i="112"/>
  <c r="L26" i="110"/>
  <c r="M26" i="110" s="1"/>
  <c r="L28" i="110"/>
  <c r="M28" i="110" s="1"/>
  <c r="L38" i="110"/>
  <c r="M38" i="110" s="1"/>
  <c r="L40" i="110"/>
  <c r="M40" i="110" s="1"/>
  <c r="L18" i="110"/>
  <c r="M18" i="110" s="1"/>
  <c r="L41" i="110"/>
  <c r="M41" i="110" s="1"/>
  <c r="L24" i="110"/>
  <c r="M24" i="110" s="1"/>
  <c r="L25" i="110"/>
  <c r="M25" i="110" s="1"/>
  <c r="L29" i="110"/>
  <c r="M29" i="110" s="1"/>
  <c r="L34" i="110"/>
  <c r="M34" i="110" s="1"/>
  <c r="L36" i="110"/>
  <c r="M36" i="110" s="1"/>
  <c r="L37" i="110"/>
  <c r="M37" i="110" s="1"/>
  <c r="L48" i="110"/>
  <c r="M48" i="110" s="1"/>
  <c r="L20" i="110"/>
  <c r="M20" i="110" s="1"/>
  <c r="L21" i="110"/>
  <c r="M21" i="110" s="1"/>
  <c r="L46" i="110"/>
  <c r="M46" i="110" s="1"/>
  <c r="J484" i="121"/>
  <c r="L484" i="121" s="1"/>
  <c r="M484" i="121" s="1"/>
  <c r="L22" i="110"/>
  <c r="M22" i="110" s="1"/>
  <c r="L23" i="110"/>
  <c r="M23" i="110" s="1"/>
  <c r="J461" i="121"/>
  <c r="L461" i="121" s="1"/>
  <c r="M461" i="121" s="1"/>
  <c r="L35" i="110"/>
  <c r="M35" i="110" s="1"/>
  <c r="J473" i="121"/>
  <c r="L473" i="121" s="1"/>
  <c r="M473" i="121" s="1"/>
  <c r="L47" i="110"/>
  <c r="M47" i="110" s="1"/>
  <c r="J485" i="121"/>
  <c r="L485" i="121" s="1"/>
  <c r="M485" i="121" s="1"/>
  <c r="L44" i="110"/>
  <c r="M44" i="110" s="1"/>
  <c r="L27" i="110"/>
  <c r="M27" i="110" s="1"/>
  <c r="J465" i="121"/>
  <c r="L465" i="121" s="1"/>
  <c r="M465" i="121" s="1"/>
  <c r="L39" i="110"/>
  <c r="M39" i="110" s="1"/>
  <c r="J477" i="121"/>
  <c r="L477" i="121" s="1"/>
  <c r="M477" i="121" s="1"/>
  <c r="L45" i="110"/>
  <c r="M45" i="110" s="1"/>
  <c r="L32" i="110"/>
  <c r="M32" i="110" s="1"/>
  <c r="L33" i="110"/>
  <c r="M33" i="110" s="1"/>
  <c r="L19" i="110"/>
  <c r="M19" i="110" s="1"/>
  <c r="J457" i="121"/>
  <c r="L457" i="121" s="1"/>
  <c r="M457" i="121" s="1"/>
  <c r="L31" i="110"/>
  <c r="M31" i="110" s="1"/>
  <c r="J469" i="121"/>
  <c r="L469" i="121" s="1"/>
  <c r="M469" i="121" s="1"/>
  <c r="L43" i="110"/>
  <c r="M43" i="110" s="1"/>
  <c r="J481" i="121"/>
  <c r="L481" i="121" s="1"/>
  <c r="M481" i="121" s="1"/>
  <c r="C21" i="86"/>
  <c r="D21" i="86" s="1"/>
  <c r="E21" i="86" s="1"/>
  <c r="F21" i="86" s="1"/>
  <c r="G21" i="86" s="1"/>
  <c r="H21" i="86" s="1"/>
  <c r="I21" i="86" s="1"/>
  <c r="L95" i="121"/>
  <c r="N95" i="121" s="1"/>
  <c r="I9" i="121"/>
  <c r="L94" i="121"/>
  <c r="N94" i="121" s="1"/>
  <c r="L52" i="106"/>
  <c r="N52" i="106" s="1"/>
  <c r="I10" i="105"/>
  <c r="B14" i="82"/>
  <c r="P164" i="107"/>
  <c r="P166" i="107" s="1"/>
  <c r="D45" i="106"/>
  <c r="D88" i="121" s="1"/>
  <c r="C135" i="90"/>
  <c r="F122" i="107"/>
  <c r="F38" i="107"/>
  <c r="E38" i="107"/>
  <c r="E40" i="107"/>
  <c r="F39" i="107"/>
  <c r="S146" i="107"/>
  <c r="J146" i="107"/>
  <c r="J162" i="107" s="1"/>
  <c r="J164" i="107" s="1"/>
  <c r="J166" i="107" s="1"/>
  <c r="G146" i="107"/>
  <c r="B764" i="121"/>
  <c r="D34" i="86"/>
  <c r="J732" i="121"/>
  <c r="F34" i="86"/>
  <c r="F58" i="111"/>
  <c r="H90" i="111"/>
  <c r="I90" i="111"/>
  <c r="E58" i="111"/>
  <c r="K90" i="111"/>
  <c r="I58" i="111"/>
  <c r="B120" i="111"/>
  <c r="J58" i="111"/>
  <c r="C120" i="111"/>
  <c r="B26" i="111"/>
  <c r="B10" i="87" s="1"/>
  <c r="C26" i="111"/>
  <c r="B11" i="87" s="1"/>
  <c r="D26" i="111"/>
  <c r="E26" i="111"/>
  <c r="F90" i="111"/>
  <c r="F790" i="121" s="1"/>
  <c r="G58" i="111"/>
  <c r="B25" i="87" s="1"/>
  <c r="J90" i="111"/>
  <c r="J790" i="121" s="1"/>
  <c r="H58" i="111"/>
  <c r="E90" i="111"/>
  <c r="B33" i="87" s="1"/>
  <c r="K26" i="111"/>
  <c r="D58" i="111"/>
  <c r="G90" i="111"/>
  <c r="B19" i="87"/>
  <c r="K726" i="121"/>
  <c r="B23" i="87"/>
  <c r="E758" i="121"/>
  <c r="J287" i="121"/>
  <c r="J288" i="121" s="1"/>
  <c r="J290" i="121" s="1"/>
  <c r="J293" i="121" s="1"/>
  <c r="B24" i="87"/>
  <c r="F758" i="121"/>
  <c r="B726" i="121"/>
  <c r="H758" i="121"/>
  <c r="B37" i="87"/>
  <c r="I790" i="121"/>
  <c r="H26" i="111"/>
  <c r="B90" i="111"/>
  <c r="F120" i="111"/>
  <c r="F26" i="111"/>
  <c r="D120" i="111"/>
  <c r="G26" i="111"/>
  <c r="E120" i="111"/>
  <c r="I26" i="111"/>
  <c r="B58" i="111"/>
  <c r="C90" i="111"/>
  <c r="I758" i="121"/>
  <c r="B40" i="87"/>
  <c r="B820" i="121"/>
  <c r="B28" i="87"/>
  <c r="J758" i="121"/>
  <c r="B39" i="87"/>
  <c r="K790" i="121"/>
  <c r="K58" i="111"/>
  <c r="J26" i="111"/>
  <c r="C58" i="111"/>
  <c r="D90" i="111"/>
  <c r="O215" i="112"/>
  <c r="O1372" i="121" s="1"/>
  <c r="O1373" i="121"/>
  <c r="O169" i="112"/>
  <c r="AW433" i="112" s="1"/>
  <c r="BC430" i="112"/>
  <c r="P1298" i="121"/>
  <c r="AZ443" i="112"/>
  <c r="P1488" i="121"/>
  <c r="O29" i="105"/>
  <c r="E18" i="89"/>
  <c r="A307" i="121"/>
  <c r="J26" i="121"/>
  <c r="A2" i="105"/>
  <c r="A1" i="121" s="1"/>
  <c r="A45" i="121"/>
  <c r="H8" i="100"/>
  <c r="AV436" i="112"/>
  <c r="O1395" i="121"/>
  <c r="L1395" i="121" s="1"/>
  <c r="K378" i="112"/>
  <c r="P1326" i="121"/>
  <c r="K1527" i="121" s="1"/>
  <c r="BB446" i="112"/>
  <c r="P1517" i="121"/>
  <c r="AZ437" i="112"/>
  <c r="P1414" i="121"/>
  <c r="K384" i="112"/>
  <c r="O1533" i="121"/>
  <c r="K1533" i="121" s="1"/>
  <c r="AV432" i="112"/>
  <c r="O1317" i="121"/>
  <c r="O121" i="112"/>
  <c r="O117" i="112" s="1"/>
  <c r="O89" i="112"/>
  <c r="O1246" i="121" s="1"/>
  <c r="O1249" i="121"/>
  <c r="Q46" i="112"/>
  <c r="O1203" i="121"/>
  <c r="Q1203" i="121" s="1"/>
  <c r="O37" i="112"/>
  <c r="O1194" i="121" s="1"/>
  <c r="O1201" i="121"/>
  <c r="L25" i="112"/>
  <c r="L1182" i="121"/>
  <c r="Q1182" i="121"/>
  <c r="Q25"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Q101" i="112"/>
  <c r="O100" i="112"/>
  <c r="O1257" i="121" s="1"/>
  <c r="AX431" i="112"/>
  <c r="AW431" i="112"/>
  <c r="AV431" i="112"/>
  <c r="BA435" i="112"/>
  <c r="AZ435" i="112"/>
  <c r="AJ456"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P1300" i="121" s="1"/>
  <c r="BB431" i="112"/>
  <c r="BA431" i="112"/>
  <c r="AZ431" i="112"/>
  <c r="AJ457" i="112"/>
  <c r="AZ436" i="112"/>
  <c r="BA436" i="112"/>
  <c r="J383" i="112"/>
  <c r="J1532" i="121" s="1"/>
  <c r="BB426" i="112"/>
  <c r="AZ426" i="112"/>
  <c r="BA426" i="112"/>
  <c r="AX427" i="112"/>
  <c r="AV427" i="112"/>
  <c r="AW427" i="112"/>
  <c r="BB429" i="112"/>
  <c r="BA429" i="112"/>
  <c r="AZ429" i="112"/>
  <c r="BB430" i="112"/>
  <c r="BA430" i="112"/>
  <c r="AZ430" i="112"/>
  <c r="P207" i="112"/>
  <c r="AJ449" i="112"/>
  <c r="AY425" i="112"/>
  <c r="AY427" i="112"/>
  <c r="AY431" i="112"/>
  <c r="AI458" i="112"/>
  <c r="L238" i="112"/>
  <c r="J378" i="112"/>
  <c r="AV433" i="112"/>
  <c r="AI457"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O212" i="112" l="1"/>
  <c r="O206" i="112" s="1"/>
  <c r="J306" i="112" s="1"/>
  <c r="J1455" i="121" s="1"/>
  <c r="E31" i="111"/>
  <c r="D53" i="82"/>
  <c r="D731" i="121"/>
  <c r="K156" i="110"/>
  <c r="M155" i="110"/>
  <c r="O121" i="110"/>
  <c r="M121" i="110"/>
  <c r="O156" i="110"/>
  <c r="O157" i="110"/>
  <c r="M151" i="110"/>
  <c r="L152" i="110"/>
  <c r="M158" i="110"/>
  <c r="P94" i="110"/>
  <c r="P108" i="110"/>
  <c r="K115" i="110"/>
  <c r="P56" i="110"/>
  <c r="J25" i="95" s="1"/>
  <c r="N100" i="110"/>
  <c r="P162" i="110"/>
  <c r="O118" i="110"/>
  <c r="P167" i="110"/>
  <c r="N118" i="110"/>
  <c r="P114" i="110"/>
  <c r="N121" i="110"/>
  <c r="M115" i="110"/>
  <c r="M487" i="121"/>
  <c r="M488" i="121" s="1"/>
  <c r="M49" i="110"/>
  <c r="M50" i="110" s="1"/>
  <c r="B715" i="121" s="1"/>
  <c r="F37" i="107"/>
  <c r="E41" i="107"/>
  <c r="E3" i="86"/>
  <c r="J176" i="107"/>
  <c r="J178" i="107" s="1"/>
  <c r="J180" i="107" s="1"/>
  <c r="B4" i="82"/>
  <c r="I104" i="121"/>
  <c r="C18" i="100"/>
  <c r="L34" i="106"/>
  <c r="I61" i="106"/>
  <c r="R32" i="111"/>
  <c r="R31" i="111"/>
  <c r="D14" i="86"/>
  <c r="C732" i="121"/>
  <c r="R40" i="111"/>
  <c r="C54" i="86"/>
  <c r="F764" i="121"/>
  <c r="R30" i="111"/>
  <c r="C14" i="86"/>
  <c r="B732" i="121"/>
  <c r="R26" i="111"/>
  <c r="R22" i="111"/>
  <c r="R21" i="111"/>
  <c r="B44" i="111"/>
  <c r="B744" i="121" s="1"/>
  <c r="R34" i="111"/>
  <c r="R29" i="111"/>
  <c r="I34" i="86"/>
  <c r="E764" i="121"/>
  <c r="R33" i="111"/>
  <c r="R27" i="111"/>
  <c r="H34" i="86"/>
  <c r="D764" i="121"/>
  <c r="R25" i="111"/>
  <c r="C34" i="86"/>
  <c r="I732" i="121"/>
  <c r="G34" i="86"/>
  <c r="C764" i="121"/>
  <c r="R37" i="111"/>
  <c r="E34" i="86"/>
  <c r="K732" i="121"/>
  <c r="R39" i="111"/>
  <c r="R28" i="111"/>
  <c r="G14" i="86"/>
  <c r="F732" i="121"/>
  <c r="R23" i="111"/>
  <c r="I14" i="86"/>
  <c r="H732" i="121"/>
  <c r="R38" i="111"/>
  <c r="H14" i="86"/>
  <c r="G732" i="121"/>
  <c r="R36" i="111"/>
  <c r="F14" i="86"/>
  <c r="E732" i="121"/>
  <c r="R24" i="111"/>
  <c r="R35" i="111"/>
  <c r="I47" i="106" s="1"/>
  <c r="I90" i="121" s="1"/>
  <c r="E14" i="86"/>
  <c r="D732" i="121"/>
  <c r="B26" i="87"/>
  <c r="B22" i="87"/>
  <c r="B40" i="111"/>
  <c r="C10" i="86" s="1"/>
  <c r="B27" i="87"/>
  <c r="E790" i="121"/>
  <c r="C820" i="121"/>
  <c r="H790" i="121"/>
  <c r="H797" i="121" s="1"/>
  <c r="B41" i="87"/>
  <c r="B36" i="87"/>
  <c r="D758" i="121"/>
  <c r="D766" i="121" s="1"/>
  <c r="C40" i="111"/>
  <c r="C740" i="121" s="1"/>
  <c r="B38" i="87"/>
  <c r="B34" i="87"/>
  <c r="E726" i="121"/>
  <c r="D726" i="121"/>
  <c r="B13" i="87"/>
  <c r="B12" i="87"/>
  <c r="C726" i="121"/>
  <c r="G790" i="121"/>
  <c r="G797" i="121" s="1"/>
  <c r="G758" i="121"/>
  <c r="G766" i="121" s="1"/>
  <c r="B35" i="87"/>
  <c r="I766" i="121"/>
  <c r="B17" i="87"/>
  <c r="I726" i="121"/>
  <c r="C734" i="121"/>
  <c r="B18" i="87"/>
  <c r="J726" i="121"/>
  <c r="F766" i="121"/>
  <c r="K734" i="121"/>
  <c r="B43" i="87"/>
  <c r="E820" i="121"/>
  <c r="B16" i="87"/>
  <c r="H726" i="121"/>
  <c r="B15" i="87"/>
  <c r="G726" i="121"/>
  <c r="F797" i="121"/>
  <c r="K797" i="121"/>
  <c r="J797" i="121"/>
  <c r="B31" i="87"/>
  <c r="C790" i="121"/>
  <c r="B14" i="87"/>
  <c r="F726" i="121"/>
  <c r="H766" i="121"/>
  <c r="B827" i="121"/>
  <c r="I797" i="121"/>
  <c r="B32" i="87"/>
  <c r="D790" i="121"/>
  <c r="B44" i="87"/>
  <c r="F820" i="121"/>
  <c r="E766" i="121"/>
  <c r="B21" i="87"/>
  <c r="C758" i="121"/>
  <c r="B29" i="87"/>
  <c r="K758" i="121"/>
  <c r="D734" i="121"/>
  <c r="C827" i="121"/>
  <c r="B42" i="87"/>
  <c r="D820" i="121"/>
  <c r="J766" i="121"/>
  <c r="B20" i="87"/>
  <c r="B758" i="121"/>
  <c r="B30" i="87"/>
  <c r="B790" i="121"/>
  <c r="O1326" i="121"/>
  <c r="O1300" i="121"/>
  <c r="AZ442" i="112"/>
  <c r="P1480" i="121"/>
  <c r="N28" i="121"/>
  <c r="Q672" i="121"/>
  <c r="P4" i="110"/>
  <c r="O28" i="121"/>
  <c r="P442" i="121"/>
  <c r="A123" i="110"/>
  <c r="O1488" i="121"/>
  <c r="R1488" i="121" s="1"/>
  <c r="A561" i="121"/>
  <c r="P310" i="112"/>
  <c r="P1364" i="121"/>
  <c r="O1274" i="121"/>
  <c r="AY429" i="112"/>
  <c r="AX429" i="112"/>
  <c r="AV429" i="112"/>
  <c r="AW429" i="112"/>
  <c r="O1278" i="121"/>
  <c r="Q1201" i="121"/>
  <c r="L1194" i="121"/>
  <c r="O20" i="112"/>
  <c r="O1177" i="121" s="1"/>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O1369" i="121" l="1"/>
  <c r="B15" i="82"/>
  <c r="J183" i="107"/>
  <c r="F31" i="111"/>
  <c r="E53" i="82"/>
  <c r="E731" i="121"/>
  <c r="AD108" i="107"/>
  <c r="AF108" i="107" s="1"/>
  <c r="P152" i="110"/>
  <c r="Q166" i="110"/>
  <c r="Q604" i="121" s="1"/>
  <c r="Q165" i="110"/>
  <c r="Q603" i="121" s="1"/>
  <c r="B15" i="111"/>
  <c r="C52" i="100" s="1"/>
  <c r="Q171" i="110"/>
  <c r="Q609" i="121" s="1"/>
  <c r="F57" i="89"/>
  <c r="H621" i="121"/>
  <c r="P621" i="121" s="1"/>
  <c r="P121" i="110"/>
  <c r="Q161" i="110"/>
  <c r="Q599" i="121" s="1"/>
  <c r="P118" i="110"/>
  <c r="L77" i="121"/>
  <c r="L78" i="121" s="1"/>
  <c r="L35" i="106"/>
  <c r="P52" i="106"/>
  <c r="I62" i="106"/>
  <c r="P47" i="106" s="1"/>
  <c r="P90" i="121" s="1"/>
  <c r="P51" i="106"/>
  <c r="P94" i="121"/>
  <c r="P95" i="121"/>
  <c r="I105" i="121"/>
  <c r="C44" i="111"/>
  <c r="C744" i="121" s="1"/>
  <c r="B740" i="121"/>
  <c r="D40" i="111"/>
  <c r="E10" i="86" s="1"/>
  <c r="D10" i="86"/>
  <c r="E797" i="121"/>
  <c r="E734" i="121"/>
  <c r="C766" i="121"/>
  <c r="H734" i="121"/>
  <c r="I734" i="121"/>
  <c r="F734" i="121"/>
  <c r="G734" i="121"/>
  <c r="B797" i="121"/>
  <c r="E827" i="121"/>
  <c r="C797" i="121"/>
  <c r="K766" i="121"/>
  <c r="D797" i="121"/>
  <c r="D827" i="121"/>
  <c r="B766" i="121"/>
  <c r="F827" i="121"/>
  <c r="J734" i="121"/>
  <c r="O1298" i="121"/>
  <c r="AX430" i="112"/>
  <c r="AV430" i="112"/>
  <c r="AW430" i="112"/>
  <c r="AY430" i="112"/>
  <c r="J381" i="112"/>
  <c r="J380" i="112" s="1"/>
  <c r="J1529" i="121" s="1"/>
  <c r="O1363" i="121"/>
  <c r="AW435" i="112"/>
  <c r="J303" i="112"/>
  <c r="O207" i="112"/>
  <c r="AI456" i="112"/>
  <c r="AV435" i="112"/>
  <c r="P303" i="112"/>
  <c r="P1459" i="121"/>
  <c r="K375"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175" i="110" s="1"/>
  <c r="N613" i="121"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Y449" i="112" s="1"/>
  <c r="AX446" i="112"/>
  <c r="AX449" i="112" s="1"/>
  <c r="I368" i="112"/>
  <c r="H14" i="111"/>
  <c r="Q167" i="110"/>
  <c r="Q605" i="121" s="1"/>
  <c r="P157" i="110"/>
  <c r="K65" i="110"/>
  <c r="P63" i="110"/>
  <c r="Q164" i="110"/>
  <c r="Q602" i="121" s="1"/>
  <c r="K170" i="110"/>
  <c r="P168" i="110"/>
  <c r="Q163" i="110"/>
  <c r="Q601" i="121" s="1"/>
  <c r="P125" i="110"/>
  <c r="P131" i="110"/>
  <c r="P155" i="110"/>
  <c r="P111" i="110"/>
  <c r="P158" i="110"/>
  <c r="G31" i="111" l="1"/>
  <c r="F53" i="82"/>
  <c r="F731" i="121"/>
  <c r="P183" i="110"/>
  <c r="G15" i="111"/>
  <c r="D15" i="111"/>
  <c r="N76" i="110"/>
  <c r="F15" i="111"/>
  <c r="N85" i="110"/>
  <c r="E15" i="111"/>
  <c r="C15" i="111"/>
  <c r="B16" i="111"/>
  <c r="B716" i="121"/>
  <c r="L175" i="110"/>
  <c r="L613" i="121" s="1"/>
  <c r="L82" i="110"/>
  <c r="N88" i="110"/>
  <c r="H7" i="100"/>
  <c r="N79" i="110"/>
  <c r="M88" i="110"/>
  <c r="L73" i="110"/>
  <c r="M76" i="110"/>
  <c r="O85" i="110"/>
  <c r="M79" i="110"/>
  <c r="N73" i="110"/>
  <c r="P53" i="106"/>
  <c r="P96" i="121"/>
  <c r="D44" i="111"/>
  <c r="E40" i="111"/>
  <c r="D740" i="121"/>
  <c r="E740" i="121"/>
  <c r="F40" i="111"/>
  <c r="F10" i="86"/>
  <c r="AZ439" i="112"/>
  <c r="P1435" i="121"/>
  <c r="AW449" i="112"/>
  <c r="J1530" i="121"/>
  <c r="J310" i="112"/>
  <c r="O310" i="112"/>
  <c r="O1364" i="121"/>
  <c r="J1459" i="121" s="1"/>
  <c r="AV439" i="112"/>
  <c r="O1435" i="121"/>
  <c r="P1452" i="121"/>
  <c r="AJ459" i="112"/>
  <c r="AZ440" i="112"/>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15" i="111"/>
  <c r="K172" i="110"/>
  <c r="P172" i="110" s="1"/>
  <c r="P170" i="110"/>
  <c r="P247" i="110"/>
  <c r="K67" i="110"/>
  <c r="P65" i="110"/>
  <c r="C53" i="100" l="1"/>
  <c r="B717" i="121"/>
  <c r="B720" i="121" s="1"/>
  <c r="B725" i="121" s="1"/>
  <c r="B733" i="121" s="1"/>
  <c r="H31" i="111"/>
  <c r="G53" i="82"/>
  <c r="G731" i="121"/>
  <c r="B17" i="111"/>
  <c r="K6" i="111" s="1"/>
  <c r="D16" i="111"/>
  <c r="G16" i="111"/>
  <c r="F16" i="111"/>
  <c r="C16" i="111"/>
  <c r="E16" i="111"/>
  <c r="H16" i="111"/>
  <c r="M167" i="107"/>
  <c r="M168" i="107" s="1"/>
  <c r="M170" i="107" s="1"/>
  <c r="J168" i="121"/>
  <c r="J159" i="121"/>
  <c r="F167" i="121"/>
  <c r="F158" i="121"/>
  <c r="F159" i="121"/>
  <c r="F168" i="121"/>
  <c r="J277" i="121"/>
  <c r="J278" i="121" s="1"/>
  <c r="J280" i="121" s="1"/>
  <c r="M277" i="121"/>
  <c r="M278" i="121" s="1"/>
  <c r="M280" i="121" s="1"/>
  <c r="P277" i="121"/>
  <c r="P278" i="121" s="1"/>
  <c r="P280" i="121" s="1"/>
  <c r="D744" i="121"/>
  <c r="E44" i="111"/>
  <c r="F740" i="121"/>
  <c r="G40" i="111"/>
  <c r="G10" i="86"/>
  <c r="P6" i="112"/>
  <c r="P1556" i="121"/>
  <c r="P1163" i="121" s="1"/>
  <c r="AV449" i="112"/>
  <c r="O407" i="112" s="1"/>
  <c r="O1459" i="121"/>
  <c r="L1459" i="121" s="1"/>
  <c r="L310" i="112"/>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16" i="111"/>
  <c r="Q239" i="110"/>
  <c r="N239" i="110"/>
  <c r="P67" i="110"/>
  <c r="K175" i="110"/>
  <c r="K613" i="121" s="1"/>
  <c r="K85" i="110"/>
  <c r="K73" i="110"/>
  <c r="K82" i="110"/>
  <c r="K70" i="110"/>
  <c r="K76" i="110"/>
  <c r="K79" i="110"/>
  <c r="K88" i="110"/>
  <c r="J4" i="91" l="1"/>
  <c r="C54" i="100"/>
  <c r="L4" i="95"/>
  <c r="F17" i="111"/>
  <c r="F20" i="111" s="1"/>
  <c r="D17" i="111"/>
  <c r="D20" i="111" s="1"/>
  <c r="D22" i="111"/>
  <c r="C17" i="111"/>
  <c r="C20" i="111" s="1"/>
  <c r="G17" i="111"/>
  <c r="G20" i="111" s="1"/>
  <c r="G22" i="111"/>
  <c r="B722" i="121"/>
  <c r="B739" i="121" s="1"/>
  <c r="H17" i="111"/>
  <c r="H20" i="111" s="1"/>
  <c r="B22" i="111"/>
  <c r="B734" i="121"/>
  <c r="B20" i="111"/>
  <c r="E17" i="111"/>
  <c r="E20" i="111" s="1"/>
  <c r="E22" i="111"/>
  <c r="I31" i="111"/>
  <c r="H53" i="82"/>
  <c r="H731" i="121"/>
  <c r="J281" i="121"/>
  <c r="J105" i="112"/>
  <c r="J1262" i="121" s="1"/>
  <c r="H1481" i="121"/>
  <c r="F243" i="121"/>
  <c r="D258" i="121"/>
  <c r="E165" i="121"/>
  <c r="G164" i="121" s="1"/>
  <c r="L1029" i="121"/>
  <c r="L1027" i="121"/>
  <c r="L1028" i="121" s="1"/>
  <c r="E197" i="121"/>
  <c r="J167" i="121"/>
  <c r="J158" i="121"/>
  <c r="G258" i="121"/>
  <c r="P158" i="121"/>
  <c r="P167" i="121"/>
  <c r="J170" i="107"/>
  <c r="J171" i="107" s="1"/>
  <c r="G15" i="82"/>
  <c r="E744" i="121"/>
  <c r="F44" i="111"/>
  <c r="G740" i="121"/>
  <c r="H40" i="111"/>
  <c r="H10" i="86"/>
  <c r="O6" i="112"/>
  <c r="O1556" i="121"/>
  <c r="O1163" i="121" s="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I22" i="111" l="1"/>
  <c r="C22" i="111"/>
  <c r="F22" i="111"/>
  <c r="Q662" i="121"/>
  <c r="Q224" i="110"/>
  <c r="K8" i="111"/>
  <c r="H22" i="111"/>
  <c r="J31" i="111"/>
  <c r="I53" i="82"/>
  <c r="I731" i="121"/>
  <c r="F13" i="86"/>
  <c r="D13" i="86"/>
  <c r="I13" i="86"/>
  <c r="H13" i="86"/>
  <c r="E13" i="86"/>
  <c r="G13" i="86"/>
  <c r="AF125" i="107"/>
  <c r="AH125" i="107" s="1"/>
  <c r="AF122" i="107"/>
  <c r="F744" i="121"/>
  <c r="G44" i="111"/>
  <c r="H740" i="121"/>
  <c r="I40" i="111"/>
  <c r="I10" i="86"/>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Q232" i="110" l="1"/>
  <c r="O225" i="110"/>
  <c r="O226" i="110"/>
  <c r="O663" i="121"/>
  <c r="Q670" i="121"/>
  <c r="O664" i="121"/>
  <c r="J22" i="111"/>
  <c r="K31" i="111"/>
  <c r="J53" i="82"/>
  <c r="J731" i="121"/>
  <c r="AH122" i="107"/>
  <c r="E127" i="107" s="1"/>
  <c r="A127" i="107" s="1"/>
  <c r="J1231" i="121"/>
  <c r="J76" i="112"/>
  <c r="J1233" i="121" s="1"/>
  <c r="G744" i="121"/>
  <c r="H44" i="111"/>
  <c r="I740" i="121"/>
  <c r="J40" i="111"/>
  <c r="C30" i="86"/>
  <c r="C46" i="111"/>
  <c r="B55" i="111"/>
  <c r="F33" i="86" s="1"/>
  <c r="B47" i="111"/>
  <c r="B48" i="111"/>
  <c r="K17" i="111"/>
  <c r="K20" i="111" s="1"/>
  <c r="Q689" i="121" l="1"/>
  <c r="P671" i="121"/>
  <c r="N670" i="121"/>
  <c r="K22" i="111"/>
  <c r="B21" i="111"/>
  <c r="C53" i="111" s="1"/>
  <c r="B721" i="121"/>
  <c r="F240" i="121"/>
  <c r="F130" i="107"/>
  <c r="Q251" i="110"/>
  <c r="P233" i="110"/>
  <c r="B63" i="111"/>
  <c r="K53" i="82"/>
  <c r="K731" i="121"/>
  <c r="H744" i="121"/>
  <c r="I44" i="111"/>
  <c r="J740" i="121"/>
  <c r="K40" i="111"/>
  <c r="D30" i="86"/>
  <c r="B49" i="111"/>
  <c r="B52" i="111" s="1"/>
  <c r="D46" i="111"/>
  <c r="C47" i="111"/>
  <c r="C55" i="111"/>
  <c r="G33" i="86" s="1"/>
  <c r="C48" i="111"/>
  <c r="B39" i="111" l="1"/>
  <c r="G21" i="111"/>
  <c r="E21" i="111"/>
  <c r="F21" i="111"/>
  <c r="D21" i="111"/>
  <c r="C21" i="111"/>
  <c r="H21" i="111"/>
  <c r="I21" i="111"/>
  <c r="J21" i="111"/>
  <c r="B25" i="111"/>
  <c r="K21" i="111"/>
  <c r="B53" i="111"/>
  <c r="B71" i="111" s="1"/>
  <c r="B54" i="111"/>
  <c r="C63" i="111"/>
  <c r="B73" i="82"/>
  <c r="B763" i="121"/>
  <c r="J44" i="111"/>
  <c r="I744" i="121"/>
  <c r="K740" i="121"/>
  <c r="B72" i="111"/>
  <c r="E30" i="86"/>
  <c r="C49" i="111"/>
  <c r="C52" i="111" s="1"/>
  <c r="E46" i="111"/>
  <c r="D47" i="111"/>
  <c r="D53" i="111"/>
  <c r="D55" i="111"/>
  <c r="H33" i="86" s="1"/>
  <c r="D48" i="111"/>
  <c r="B27" i="111" l="1"/>
  <c r="P41" i="106" s="1"/>
  <c r="P84" i="121" s="1"/>
  <c r="J39" i="111"/>
  <c r="J25" i="111"/>
  <c r="H39" i="111"/>
  <c r="H25" i="111"/>
  <c r="C39" i="111"/>
  <c r="C25" i="111"/>
  <c r="K39" i="111"/>
  <c r="K25" i="111"/>
  <c r="F39" i="111"/>
  <c r="F25" i="111"/>
  <c r="B44" i="82"/>
  <c r="B34" i="111"/>
  <c r="I39" i="111"/>
  <c r="I25" i="111"/>
  <c r="D39" i="111"/>
  <c r="D25" i="111"/>
  <c r="E39" i="111"/>
  <c r="E25" i="111"/>
  <c r="G39" i="111"/>
  <c r="G25" i="111"/>
  <c r="C54" i="111"/>
  <c r="C71" i="111" s="1"/>
  <c r="B57" i="111"/>
  <c r="D63" i="111"/>
  <c r="C73" i="82"/>
  <c r="C763" i="121"/>
  <c r="J744" i="121"/>
  <c r="K44" i="111"/>
  <c r="B772" i="121"/>
  <c r="C72" i="111"/>
  <c r="F30" i="86"/>
  <c r="D49" i="111"/>
  <c r="D52" i="111" s="1"/>
  <c r="F46" i="111"/>
  <c r="E47" i="111"/>
  <c r="E55" i="111"/>
  <c r="I33" i="86" s="1"/>
  <c r="E53" i="111"/>
  <c r="E48" i="111"/>
  <c r="B38" i="111" l="1"/>
  <c r="B33" i="111"/>
  <c r="C9" i="86" s="1"/>
  <c r="F27" i="111"/>
  <c r="E27" i="111"/>
  <c r="K27" i="111"/>
  <c r="K33" i="111" s="1"/>
  <c r="E29" i="86" s="1"/>
  <c r="D27" i="111"/>
  <c r="C27" i="111"/>
  <c r="I27" i="111"/>
  <c r="H27" i="111"/>
  <c r="J27" i="111"/>
  <c r="B59" i="111"/>
  <c r="B65" i="111"/>
  <c r="F29" i="86" s="1"/>
  <c r="B36" i="111"/>
  <c r="B728" i="121"/>
  <c r="H10" i="87"/>
  <c r="B42" i="111"/>
  <c r="G27" i="111"/>
  <c r="C57" i="111"/>
  <c r="C64" i="82" s="1"/>
  <c r="B727" i="121"/>
  <c r="B41" i="111"/>
  <c r="B35" i="111"/>
  <c r="E10" i="87"/>
  <c r="C75" i="100"/>
  <c r="B45" i="82"/>
  <c r="F131" i="107"/>
  <c r="F241" i="121"/>
  <c r="D44" i="82"/>
  <c r="D34" i="111"/>
  <c r="C44" i="82"/>
  <c r="C34" i="111"/>
  <c r="F44" i="82"/>
  <c r="F34" i="111"/>
  <c r="H44" i="82"/>
  <c r="H34" i="111"/>
  <c r="G44" i="82"/>
  <c r="G34" i="111"/>
  <c r="K44" i="82"/>
  <c r="K34" i="111"/>
  <c r="I44" i="82"/>
  <c r="I34" i="111"/>
  <c r="J34" i="111"/>
  <c r="J44" i="82"/>
  <c r="E34" i="111"/>
  <c r="E44" i="82"/>
  <c r="B66" i="111"/>
  <c r="B64" i="82"/>
  <c r="D54" i="111"/>
  <c r="D71" i="111" s="1"/>
  <c r="E63" i="111"/>
  <c r="D73" i="82"/>
  <c r="D763" i="121"/>
  <c r="K744" i="121"/>
  <c r="B76" i="111"/>
  <c r="C772" i="121"/>
  <c r="D72" i="111"/>
  <c r="G30" i="86"/>
  <c r="G46" i="111"/>
  <c r="F55" i="111"/>
  <c r="C53" i="86" s="1"/>
  <c r="F47" i="111"/>
  <c r="F53" i="111"/>
  <c r="F48" i="111"/>
  <c r="E49" i="111"/>
  <c r="E52" i="111" s="1"/>
  <c r="V176" i="72"/>
  <c r="V177" i="72"/>
  <c r="S21" i="111" l="1"/>
  <c r="F33" i="111"/>
  <c r="G9" i="86" s="1"/>
  <c r="K38" i="111"/>
  <c r="I38" i="111"/>
  <c r="B736" i="121"/>
  <c r="C66" i="111"/>
  <c r="H33" i="111"/>
  <c r="I9" i="86" s="1"/>
  <c r="B70" i="111"/>
  <c r="H11" i="87"/>
  <c r="C36" i="111"/>
  <c r="C728" i="121"/>
  <c r="H13" i="87"/>
  <c r="E728" i="121"/>
  <c r="E36" i="111"/>
  <c r="E38" i="111"/>
  <c r="E15" i="87"/>
  <c r="G727" i="121"/>
  <c r="G35" i="111"/>
  <c r="I36" i="111"/>
  <c r="H17" i="87"/>
  <c r="I728" i="121"/>
  <c r="E33" i="111"/>
  <c r="F9" i="86" s="1"/>
  <c r="G33" i="111"/>
  <c r="H9" i="86" s="1"/>
  <c r="E17" i="87"/>
  <c r="I727" i="121"/>
  <c r="I35" i="111"/>
  <c r="J36" i="111"/>
  <c r="H18" i="87"/>
  <c r="J728" i="121"/>
  <c r="C42" i="111"/>
  <c r="D42" i="111" s="1"/>
  <c r="D742" i="121" s="1"/>
  <c r="B742" i="121"/>
  <c r="C12" i="86"/>
  <c r="D12" i="86"/>
  <c r="C35" i="111"/>
  <c r="E11" i="87"/>
  <c r="C727" i="121"/>
  <c r="C45" i="82"/>
  <c r="C41" i="111"/>
  <c r="D11" i="86" s="1"/>
  <c r="J38" i="111"/>
  <c r="D36" i="111"/>
  <c r="D728" i="121"/>
  <c r="H12" i="87"/>
  <c r="C38" i="111"/>
  <c r="H20" i="87"/>
  <c r="B760" i="121"/>
  <c r="B68" i="111"/>
  <c r="K728" i="121"/>
  <c r="H19" i="87"/>
  <c r="K36" i="111"/>
  <c r="D727" i="121"/>
  <c r="D35" i="111"/>
  <c r="E12" i="87"/>
  <c r="D45" i="82"/>
  <c r="J33" i="111"/>
  <c r="D29" i="86" s="1"/>
  <c r="C33" i="111"/>
  <c r="D9" i="86" s="1"/>
  <c r="B759" i="121"/>
  <c r="E20" i="87"/>
  <c r="B65" i="82"/>
  <c r="B67" i="111"/>
  <c r="K35" i="111"/>
  <c r="E19" i="87"/>
  <c r="K45" i="82"/>
  <c r="K727" i="121"/>
  <c r="C11" i="86"/>
  <c r="B741" i="121"/>
  <c r="E18" i="87"/>
  <c r="J35" i="111"/>
  <c r="J45" i="82"/>
  <c r="J727" i="121"/>
  <c r="E35" i="111"/>
  <c r="E13" i="87"/>
  <c r="E45" i="82"/>
  <c r="E727" i="121"/>
  <c r="D38" i="111"/>
  <c r="B735" i="121"/>
  <c r="B738" i="121"/>
  <c r="H36" i="111"/>
  <c r="H728" i="121"/>
  <c r="H16" i="87"/>
  <c r="F36" i="111"/>
  <c r="H14" i="87"/>
  <c r="F728" i="121"/>
  <c r="H38" i="111"/>
  <c r="D33" i="111"/>
  <c r="E9" i="86" s="1"/>
  <c r="C59" i="111"/>
  <c r="E16" i="87"/>
  <c r="H35" i="111"/>
  <c r="H45" i="82"/>
  <c r="H727" i="121"/>
  <c r="E14" i="87"/>
  <c r="F35" i="111"/>
  <c r="F45" i="82"/>
  <c r="F727" i="121"/>
  <c r="E54" i="111"/>
  <c r="E71" i="111" s="1"/>
  <c r="D57" i="111"/>
  <c r="F63" i="111"/>
  <c r="E73" i="82"/>
  <c r="E763" i="121"/>
  <c r="B776" i="121"/>
  <c r="C76" i="111"/>
  <c r="D772" i="121"/>
  <c r="E72" i="111"/>
  <c r="H30" i="86"/>
  <c r="H46" i="111"/>
  <c r="G47" i="111"/>
  <c r="G53" i="111"/>
  <c r="G55" i="111"/>
  <c r="D53" i="86" s="1"/>
  <c r="G48" i="111"/>
  <c r="F49" i="111"/>
  <c r="F52" i="111" s="1"/>
  <c r="I45" i="82" l="1"/>
  <c r="I33" i="111"/>
  <c r="C29" i="86" s="1"/>
  <c r="F38" i="111"/>
  <c r="D736" i="121"/>
  <c r="B768" i="121"/>
  <c r="D41" i="111"/>
  <c r="E41" i="111" s="1"/>
  <c r="E741" i="121" s="1"/>
  <c r="G45" i="82"/>
  <c r="F736" i="121"/>
  <c r="S25" i="111"/>
  <c r="G728" i="121"/>
  <c r="G736" i="121" s="1"/>
  <c r="H15" i="87"/>
  <c r="G36" i="111"/>
  <c r="E42" i="111"/>
  <c r="D735" i="121"/>
  <c r="D738" i="121"/>
  <c r="J735" i="121"/>
  <c r="J738" i="121"/>
  <c r="C742" i="121"/>
  <c r="E12" i="86"/>
  <c r="E736" i="121"/>
  <c r="F54" i="111"/>
  <c r="F71" i="111" s="1"/>
  <c r="I736" i="121"/>
  <c r="E735" i="121"/>
  <c r="E738" i="121"/>
  <c r="D59" i="111"/>
  <c r="J736" i="121"/>
  <c r="C736" i="121"/>
  <c r="C735" i="121"/>
  <c r="C738" i="121"/>
  <c r="G735" i="121"/>
  <c r="I735" i="121"/>
  <c r="I738" i="121"/>
  <c r="C760" i="121"/>
  <c r="C768" i="121" s="1"/>
  <c r="H21" i="87"/>
  <c r="C68" i="111"/>
  <c r="S22" i="111"/>
  <c r="C67" i="111"/>
  <c r="C759" i="121"/>
  <c r="E21" i="87"/>
  <c r="C65" i="82"/>
  <c r="C70" i="111"/>
  <c r="C65" i="111"/>
  <c r="G29" i="86" s="1"/>
  <c r="S24" i="111"/>
  <c r="S26" i="111"/>
  <c r="D741" i="121"/>
  <c r="K735" i="121"/>
  <c r="K738" i="121"/>
  <c r="H735" i="121"/>
  <c r="H738" i="121"/>
  <c r="S27" i="111"/>
  <c r="S23" i="111"/>
  <c r="H736" i="121"/>
  <c r="G38" i="111"/>
  <c r="F41" i="111"/>
  <c r="G11" i="86" s="1"/>
  <c r="F735" i="121"/>
  <c r="F738" i="121"/>
  <c r="B767" i="121"/>
  <c r="B770" i="121"/>
  <c r="K736" i="121"/>
  <c r="C741" i="121"/>
  <c r="D64" i="82"/>
  <c r="D66" i="111"/>
  <c r="E57" i="111"/>
  <c r="F57" i="111"/>
  <c r="F73" i="82"/>
  <c r="F763" i="121"/>
  <c r="D76" i="111"/>
  <c r="C776" i="121"/>
  <c r="E772" i="121"/>
  <c r="F72" i="111"/>
  <c r="I30" i="86"/>
  <c r="I46" i="111"/>
  <c r="H55" i="111"/>
  <c r="E53" i="86" s="1"/>
  <c r="H47" i="111"/>
  <c r="H53" i="111"/>
  <c r="H48" i="111"/>
  <c r="G49" i="111"/>
  <c r="G52" i="111" s="1"/>
  <c r="S28" i="111" l="1"/>
  <c r="S31" i="111"/>
  <c r="S29" i="111"/>
  <c r="S30" i="111"/>
  <c r="G738" i="121"/>
  <c r="E11" i="86"/>
  <c r="D65" i="111"/>
  <c r="H29" i="86" s="1"/>
  <c r="F11" i="86"/>
  <c r="F64" i="82"/>
  <c r="F59" i="111"/>
  <c r="F12" i="86"/>
  <c r="E742" i="121"/>
  <c r="F42" i="111"/>
  <c r="F741" i="121"/>
  <c r="G41" i="111"/>
  <c r="E59" i="111"/>
  <c r="C767" i="121"/>
  <c r="C770" i="121"/>
  <c r="H22" i="87"/>
  <c r="D760" i="121"/>
  <c r="D68" i="111"/>
  <c r="E22" i="87"/>
  <c r="D759" i="121"/>
  <c r="D67" i="111"/>
  <c r="D65" i="82"/>
  <c r="D70" i="111"/>
  <c r="S32" i="111"/>
  <c r="E64" i="82"/>
  <c r="E66" i="111"/>
  <c r="F66" i="111"/>
  <c r="G54" i="111"/>
  <c r="G71" i="111" s="1"/>
  <c r="H63" i="111"/>
  <c r="G73" i="82"/>
  <c r="G763" i="121"/>
  <c r="E76" i="111"/>
  <c r="D776" i="121"/>
  <c r="F772" i="121"/>
  <c r="G72" i="111"/>
  <c r="C50" i="86"/>
  <c r="J46" i="111"/>
  <c r="I47" i="111"/>
  <c r="I53" i="111"/>
  <c r="I55" i="111"/>
  <c r="F53" i="86" s="1"/>
  <c r="I48" i="111"/>
  <c r="H49" i="111"/>
  <c r="H52" i="111" s="1"/>
  <c r="S33" i="111" l="1"/>
  <c r="F70" i="111"/>
  <c r="G741" i="121"/>
  <c r="H41" i="111"/>
  <c r="G12" i="86"/>
  <c r="F742" i="121"/>
  <c r="G42" i="111"/>
  <c r="E759" i="121"/>
  <c r="E23" i="87"/>
  <c r="E67" i="111"/>
  <c r="E65" i="82"/>
  <c r="E68" i="111"/>
  <c r="H23" i="87"/>
  <c r="E760" i="121"/>
  <c r="E70" i="111"/>
  <c r="E65" i="111"/>
  <c r="S34" i="111" s="1"/>
  <c r="H11" i="86"/>
  <c r="D767" i="121"/>
  <c r="D770" i="121"/>
  <c r="D768" i="121"/>
  <c r="F68" i="111"/>
  <c r="H24" i="87"/>
  <c r="F760" i="121"/>
  <c r="F67" i="111"/>
  <c r="F759" i="121"/>
  <c r="E24" i="87"/>
  <c r="F65" i="82"/>
  <c r="F65" i="111"/>
  <c r="C49" i="86" s="1"/>
  <c r="G57" i="111"/>
  <c r="H54" i="111"/>
  <c r="H71" i="111" s="1"/>
  <c r="I63" i="111"/>
  <c r="H73" i="82"/>
  <c r="H763" i="121"/>
  <c r="F76" i="111"/>
  <c r="E776" i="121"/>
  <c r="G772" i="121"/>
  <c r="H72" i="111"/>
  <c r="D50" i="86"/>
  <c r="K46" i="111"/>
  <c r="J55" i="111"/>
  <c r="G53" i="86" s="1"/>
  <c r="J53" i="111"/>
  <c r="J47" i="111"/>
  <c r="J48" i="111"/>
  <c r="I49" i="111"/>
  <c r="I52" i="111" s="1"/>
  <c r="I29" i="86" l="1"/>
  <c r="S35" i="111"/>
  <c r="F47" i="106" s="1"/>
  <c r="L47" i="106" s="1"/>
  <c r="L90" i="121" s="1"/>
  <c r="F768" i="121"/>
  <c r="H12" i="86"/>
  <c r="G742" i="121"/>
  <c r="H42" i="111"/>
  <c r="E767" i="121"/>
  <c r="E770" i="121"/>
  <c r="I54" i="111"/>
  <c r="I71" i="111" s="1"/>
  <c r="G59" i="111"/>
  <c r="F767" i="121"/>
  <c r="F770" i="121"/>
  <c r="H741" i="121"/>
  <c r="I41" i="111"/>
  <c r="E768" i="121"/>
  <c r="I11" i="86"/>
  <c r="H57" i="111"/>
  <c r="G66" i="111"/>
  <c r="G64" i="82"/>
  <c r="J63" i="111"/>
  <c r="I73" i="82"/>
  <c r="I763" i="121"/>
  <c r="F776" i="121"/>
  <c r="G76" i="111"/>
  <c r="G776" i="121" s="1"/>
  <c r="H772" i="121"/>
  <c r="I72" i="111"/>
  <c r="E50" i="86"/>
  <c r="J49" i="111"/>
  <c r="J52" i="111" s="1"/>
  <c r="B78" i="111"/>
  <c r="K53" i="111"/>
  <c r="K55" i="111"/>
  <c r="H53" i="86" s="1"/>
  <c r="K47" i="111"/>
  <c r="K48" i="111"/>
  <c r="I133" i="73"/>
  <c r="G59" i="93"/>
  <c r="G61" i="93"/>
  <c r="O138" i="72"/>
  <c r="F90" i="121" l="1"/>
  <c r="G65" i="111"/>
  <c r="S36" i="111" s="1"/>
  <c r="G760" i="121"/>
  <c r="H25" i="87"/>
  <c r="G68" i="111"/>
  <c r="I57" i="111"/>
  <c r="I66" i="111" s="1"/>
  <c r="G70" i="111"/>
  <c r="H59" i="111"/>
  <c r="H742" i="121"/>
  <c r="I42" i="111"/>
  <c r="G67" i="111"/>
  <c r="G65" i="82"/>
  <c r="G759" i="121"/>
  <c r="E25" i="87"/>
  <c r="I12" i="86"/>
  <c r="I741" i="121"/>
  <c r="J41" i="111"/>
  <c r="D31" i="86" s="1"/>
  <c r="C31" i="86"/>
  <c r="H66" i="111"/>
  <c r="H64" i="82"/>
  <c r="J54" i="111"/>
  <c r="J71" i="111" s="1"/>
  <c r="K63" i="111"/>
  <c r="J73" i="82"/>
  <c r="J763" i="121"/>
  <c r="I772" i="121"/>
  <c r="J72" i="111"/>
  <c r="F50" i="86"/>
  <c r="K49" i="111"/>
  <c r="K52" i="111" s="1"/>
  <c r="C78" i="111"/>
  <c r="B85" i="111"/>
  <c r="B87" i="111"/>
  <c r="B79" i="111"/>
  <c r="B80" i="111"/>
  <c r="G62" i="93"/>
  <c r="G63" i="93"/>
  <c r="G58" i="93"/>
  <c r="G60" i="93"/>
  <c r="P47" i="72"/>
  <c r="P46" i="72"/>
  <c r="P45" i="72"/>
  <c r="I64" i="82" l="1"/>
  <c r="I742" i="121"/>
  <c r="J42" i="111"/>
  <c r="I59" i="111"/>
  <c r="C32" i="86"/>
  <c r="H65" i="82"/>
  <c r="E26" i="87"/>
  <c r="H759" i="121"/>
  <c r="H67" i="111"/>
  <c r="H65" i="111"/>
  <c r="S37" i="111" s="1"/>
  <c r="J741" i="121"/>
  <c r="K41" i="111"/>
  <c r="H68" i="111"/>
  <c r="H26" i="87"/>
  <c r="H760" i="121"/>
  <c r="J57" i="111"/>
  <c r="H70" i="111"/>
  <c r="G767" i="121"/>
  <c r="G770" i="121"/>
  <c r="G768" i="121"/>
  <c r="K54" i="111"/>
  <c r="K71" i="111" s="1"/>
  <c r="B95" i="111"/>
  <c r="K73" i="82"/>
  <c r="K763" i="121"/>
  <c r="J772" i="121"/>
  <c r="K72" i="111"/>
  <c r="G50" i="86"/>
  <c r="B81" i="111"/>
  <c r="B84" i="111" s="1"/>
  <c r="D78" i="111"/>
  <c r="C79" i="111"/>
  <c r="C87" i="111"/>
  <c r="C85" i="111"/>
  <c r="C80" i="111"/>
  <c r="AB57" i="72"/>
  <c r="AB58" i="72"/>
  <c r="AB59" i="72"/>
  <c r="AB60" i="72"/>
  <c r="AB61" i="72"/>
  <c r="Z56" i="72"/>
  <c r="AI35" i="72"/>
  <c r="AH35" i="72"/>
  <c r="AG35" i="72"/>
  <c r="AF35" i="72"/>
  <c r="AE35" i="72"/>
  <c r="AD35" i="72"/>
  <c r="I65" i="111" l="1"/>
  <c r="S38" i="111" s="1"/>
  <c r="K57" i="111"/>
  <c r="K64" i="82" s="1"/>
  <c r="I65" i="82"/>
  <c r="I67" i="111"/>
  <c r="E27" i="87"/>
  <c r="I759" i="121"/>
  <c r="I70" i="111"/>
  <c r="H768" i="121"/>
  <c r="H27" i="87"/>
  <c r="I760" i="121"/>
  <c r="I768" i="121" s="1"/>
  <c r="I68" i="111"/>
  <c r="J59" i="111"/>
  <c r="J742" i="121"/>
  <c r="K42" i="111"/>
  <c r="J64" i="82"/>
  <c r="J66" i="111"/>
  <c r="D32" i="86"/>
  <c r="H767" i="121"/>
  <c r="H770" i="121"/>
  <c r="K741" i="121"/>
  <c r="B73" i="111"/>
  <c r="E31" i="86"/>
  <c r="B86" i="111"/>
  <c r="B102" i="111" s="1"/>
  <c r="C95" i="111"/>
  <c r="B795" i="121"/>
  <c r="K772" i="121"/>
  <c r="L100" i="85"/>
  <c r="L70" i="85"/>
  <c r="B103" i="111"/>
  <c r="H50" i="86"/>
  <c r="E78" i="111"/>
  <c r="D79" i="111"/>
  <c r="D85" i="111"/>
  <c r="D87" i="111"/>
  <c r="D80" i="111"/>
  <c r="C81" i="111"/>
  <c r="C84" i="111" s="1"/>
  <c r="R344" i="72"/>
  <c r="D4" i="93"/>
  <c r="K66" i="111" l="1"/>
  <c r="K59" i="111"/>
  <c r="J65" i="111"/>
  <c r="K742" i="121"/>
  <c r="B74" i="111"/>
  <c r="E32" i="86"/>
  <c r="I767" i="121"/>
  <c r="I770" i="121"/>
  <c r="B773" i="121"/>
  <c r="C73" i="111"/>
  <c r="K67" i="111"/>
  <c r="E29" i="87"/>
  <c r="F31" i="86"/>
  <c r="E28" i="87"/>
  <c r="J65" i="82"/>
  <c r="J759" i="121"/>
  <c r="J67" i="111"/>
  <c r="B89" i="111"/>
  <c r="C86" i="111"/>
  <c r="C102" i="111" s="1"/>
  <c r="D95" i="111"/>
  <c r="C795" i="121"/>
  <c r="B803" i="121"/>
  <c r="C103" i="11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H28" i="87" l="1"/>
  <c r="J760" i="121"/>
  <c r="J68" i="111"/>
  <c r="J70" i="111"/>
  <c r="K70" i="111"/>
  <c r="K759" i="121"/>
  <c r="K767" i="121" s="1"/>
  <c r="S39" i="111"/>
  <c r="J768" i="121"/>
  <c r="B91" i="111"/>
  <c r="C773" i="121"/>
  <c r="D73" i="111"/>
  <c r="H31" i="86" s="1"/>
  <c r="G31" i="86"/>
  <c r="B774" i="121"/>
  <c r="C74" i="111"/>
  <c r="G32" i="86" s="1"/>
  <c r="J767" i="121"/>
  <c r="J770" i="121"/>
  <c r="F32" i="86"/>
  <c r="C89" i="111"/>
  <c r="D86" i="111"/>
  <c r="D102" i="111" s="1"/>
  <c r="B97" i="111"/>
  <c r="E95" i="111"/>
  <c r="D795" i="121"/>
  <c r="C803" i="121"/>
  <c r="D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B96" i="111" l="1"/>
  <c r="B796" i="121" s="1"/>
  <c r="K65" i="111"/>
  <c r="S40" i="111" s="1"/>
  <c r="H29" i="87"/>
  <c r="K760" i="121"/>
  <c r="K68" i="111"/>
  <c r="K65" i="82"/>
  <c r="C774" i="121"/>
  <c r="D74" i="111"/>
  <c r="D773" i="121"/>
  <c r="E73" i="111"/>
  <c r="I31" i="86" s="1"/>
  <c r="C91" i="111"/>
  <c r="B99" i="111"/>
  <c r="B792" i="121"/>
  <c r="E30" i="87"/>
  <c r="B791" i="121"/>
  <c r="B98" i="111"/>
  <c r="D89" i="111"/>
  <c r="C97" i="111"/>
  <c r="E86" i="111"/>
  <c r="E102" i="111" s="1"/>
  <c r="F95" i="111"/>
  <c r="E795" i="121"/>
  <c r="D803" i="121"/>
  <c r="E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H30" i="87" l="1"/>
  <c r="B101" i="111"/>
  <c r="K770" i="121"/>
  <c r="K768" i="121"/>
  <c r="B799" i="121"/>
  <c r="E773" i="121"/>
  <c r="F73" i="111"/>
  <c r="C51" i="86" s="1"/>
  <c r="C791" i="121"/>
  <c r="C98" i="111"/>
  <c r="E31" i="87"/>
  <c r="D91" i="111"/>
  <c r="D774" i="121"/>
  <c r="E74" i="111"/>
  <c r="B798" i="121"/>
  <c r="B801" i="121"/>
  <c r="H32" i="86"/>
  <c r="F86" i="111"/>
  <c r="F102" i="111" s="1"/>
  <c r="D97" i="111"/>
  <c r="E89" i="111"/>
  <c r="G95" i="111"/>
  <c r="F795" i="121"/>
  <c r="E803" i="121"/>
  <c r="F103" i="111"/>
  <c r="G81" i="111"/>
  <c r="G84" i="111" s="1"/>
  <c r="I78" i="111"/>
  <c r="H79" i="111"/>
  <c r="H85" i="111"/>
  <c r="H87" i="111"/>
  <c r="H80" i="111"/>
  <c r="E62" i="100"/>
  <c r="K37" i="100"/>
  <c r="C40" i="100"/>
  <c r="K35" i="100"/>
  <c r="K62" i="100"/>
  <c r="D99" i="111" l="1"/>
  <c r="H32" i="87"/>
  <c r="D792" i="121"/>
  <c r="E91" i="111"/>
  <c r="E32" i="87"/>
  <c r="D791" i="121"/>
  <c r="D98" i="111"/>
  <c r="C792" i="121"/>
  <c r="C799" i="121" s="1"/>
  <c r="C99" i="111"/>
  <c r="H31" i="87"/>
  <c r="C96" i="111"/>
  <c r="C796" i="121" s="1"/>
  <c r="D101" i="111"/>
  <c r="C798" i="121"/>
  <c r="F773" i="121"/>
  <c r="G73" i="111"/>
  <c r="E774" i="121"/>
  <c r="F74" i="111"/>
  <c r="C52" i="86" s="1"/>
  <c r="I32" i="86"/>
  <c r="C101" i="111"/>
  <c r="E97" i="111"/>
  <c r="G86" i="111"/>
  <c r="G102" i="111" s="1"/>
  <c r="F89" i="111"/>
  <c r="H95" i="111"/>
  <c r="G795" i="121"/>
  <c r="F803" i="121"/>
  <c r="G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D96" i="111" l="1"/>
  <c r="D796" i="121" s="1"/>
  <c r="H86" i="111"/>
  <c r="H102" i="111" s="1"/>
  <c r="C801" i="121"/>
  <c r="H33" i="87"/>
  <c r="E792" i="121"/>
  <c r="E99" i="111"/>
  <c r="F774" i="121"/>
  <c r="G74" i="111"/>
  <c r="F91" i="111"/>
  <c r="D51" i="86"/>
  <c r="G773" i="121"/>
  <c r="H73" i="111"/>
  <c r="E51" i="86" s="1"/>
  <c r="D798" i="121"/>
  <c r="D801" i="121"/>
  <c r="E791" i="121"/>
  <c r="E33" i="87"/>
  <c r="E98" i="111"/>
  <c r="E96" i="111"/>
  <c r="E796" i="121" s="1"/>
  <c r="D799" i="121"/>
  <c r="E101" i="111"/>
  <c r="F97" i="111"/>
  <c r="H89" i="111"/>
  <c r="G89" i="111"/>
  <c r="I95" i="111"/>
  <c r="H795" i="121"/>
  <c r="G803" i="121"/>
  <c r="H103" i="111"/>
  <c r="I81" i="111"/>
  <c r="I84" i="111" s="1"/>
  <c r="K78" i="111"/>
  <c r="J87" i="111"/>
  <c r="J85" i="111"/>
  <c r="J79" i="111"/>
  <c r="J80" i="111"/>
  <c r="F96" i="111" l="1"/>
  <c r="F796" i="121" s="1"/>
  <c r="F792" i="121"/>
  <c r="F99" i="111"/>
  <c r="H34" i="87"/>
  <c r="H91" i="111"/>
  <c r="E798" i="121"/>
  <c r="E801" i="121"/>
  <c r="G91" i="111"/>
  <c r="G774" i="121"/>
  <c r="H74" i="111"/>
  <c r="D52" i="86"/>
  <c r="F98" i="111"/>
  <c r="F791" i="121"/>
  <c r="E34" i="87"/>
  <c r="E799" i="121"/>
  <c r="H773" i="121"/>
  <c r="I73" i="111"/>
  <c r="F51" i="86" s="1"/>
  <c r="F101" i="111"/>
  <c r="H97" i="111"/>
  <c r="G97" i="111"/>
  <c r="I86" i="111"/>
  <c r="I102" i="111" s="1"/>
  <c r="J95" i="111"/>
  <c r="I795" i="121"/>
  <c r="H803" i="121"/>
  <c r="I103" i="111"/>
  <c r="J81" i="111"/>
  <c r="J84" i="111" s="1"/>
  <c r="B108" i="111"/>
  <c r="K85" i="111"/>
  <c r="K87" i="111"/>
  <c r="K79" i="111"/>
  <c r="K80" i="111"/>
  <c r="F18" i="85"/>
  <c r="G99" i="111" l="1"/>
  <c r="H35" i="87"/>
  <c r="G792" i="121"/>
  <c r="E35" i="87"/>
  <c r="G791" i="121"/>
  <c r="G98" i="111"/>
  <c r="I773" i="121"/>
  <c r="J73" i="111"/>
  <c r="G51" i="86" s="1"/>
  <c r="H36" i="87"/>
  <c r="H792" i="121"/>
  <c r="H99" i="111"/>
  <c r="E36" i="87"/>
  <c r="H98" i="111"/>
  <c r="H791" i="121"/>
  <c r="G96" i="111"/>
  <c r="G796" i="121" s="1"/>
  <c r="F798" i="121"/>
  <c r="F801" i="121"/>
  <c r="H96" i="111"/>
  <c r="H796" i="121" s="1"/>
  <c r="G101" i="111"/>
  <c r="H774" i="121"/>
  <c r="I74" i="111"/>
  <c r="H101" i="111"/>
  <c r="E52" i="86"/>
  <c r="F799" i="121"/>
  <c r="J86" i="111"/>
  <c r="J102" i="111" s="1"/>
  <c r="I89" i="111"/>
  <c r="K95" i="111"/>
  <c r="J795" i="121"/>
  <c r="I803" i="121"/>
  <c r="J103" i="111"/>
  <c r="C108" i="111"/>
  <c r="B109" i="111"/>
  <c r="B117" i="111"/>
  <c r="B115" i="111"/>
  <c r="B110" i="111"/>
  <c r="K81" i="111"/>
  <c r="K84" i="111" s="1"/>
  <c r="E242" i="72"/>
  <c r="I91" i="111" l="1"/>
  <c r="I96" i="111" s="1"/>
  <c r="I796" i="121" s="1"/>
  <c r="J773" i="121"/>
  <c r="K73" i="111"/>
  <c r="H51" i="86" s="1"/>
  <c r="H798" i="121"/>
  <c r="H801" i="121"/>
  <c r="G798" i="121"/>
  <c r="G801" i="121"/>
  <c r="G799" i="121"/>
  <c r="I774" i="121"/>
  <c r="J74" i="111"/>
  <c r="G52" i="86" s="1"/>
  <c r="F52" i="86"/>
  <c r="H799" i="121"/>
  <c r="I97" i="111"/>
  <c r="K86" i="111"/>
  <c r="K102" i="111" s="1"/>
  <c r="J89" i="111"/>
  <c r="B125" i="111"/>
  <c r="K795" i="121"/>
  <c r="J803" i="121"/>
  <c r="K103" i="111"/>
  <c r="B111" i="111"/>
  <c r="B114" i="111" s="1"/>
  <c r="D108" i="111"/>
  <c r="C109" i="111"/>
  <c r="C117" i="111"/>
  <c r="C115" i="111"/>
  <c r="C110" i="111"/>
  <c r="Q295" i="72"/>
  <c r="Q298" i="72"/>
  <c r="Q94" i="72"/>
  <c r="Q312" i="72"/>
  <c r="Q311" i="72"/>
  <c r="I101" i="111" l="1"/>
  <c r="J91" i="111"/>
  <c r="K773" i="121"/>
  <c r="B104" i="111"/>
  <c r="I792" i="121"/>
  <c r="I99" i="111"/>
  <c r="H37" i="87"/>
  <c r="J774" i="121"/>
  <c r="K74" i="111"/>
  <c r="I98" i="111"/>
  <c r="E37" i="87"/>
  <c r="I791" i="121"/>
  <c r="K89" i="111"/>
  <c r="J97" i="111"/>
  <c r="B116" i="111"/>
  <c r="B132" i="111" s="1"/>
  <c r="C125" i="111"/>
  <c r="B825" i="121"/>
  <c r="K803" i="121"/>
  <c r="B133" i="111"/>
  <c r="E108" i="111"/>
  <c r="D115" i="111"/>
  <c r="D109" i="111"/>
  <c r="D117" i="111"/>
  <c r="D110" i="111"/>
  <c r="C111" i="111"/>
  <c r="C114" i="111" s="1"/>
  <c r="I91" i="72"/>
  <c r="J101" i="111" l="1"/>
  <c r="J96" i="111"/>
  <c r="J796" i="121" s="1"/>
  <c r="I799" i="121"/>
  <c r="K774" i="121"/>
  <c r="B105" i="111"/>
  <c r="C116" i="111"/>
  <c r="C132" i="111" s="1"/>
  <c r="H52" i="86"/>
  <c r="K91" i="111"/>
  <c r="B804" i="121"/>
  <c r="C104" i="111"/>
  <c r="I798" i="121"/>
  <c r="I801" i="121"/>
  <c r="H38" i="87"/>
  <c r="J792" i="121"/>
  <c r="J99" i="111"/>
  <c r="J98" i="111"/>
  <c r="E38" i="87"/>
  <c r="J791" i="121"/>
  <c r="K97" i="111"/>
  <c r="B119" i="111"/>
  <c r="D125" i="111"/>
  <c r="C825" i="121"/>
  <c r="B833" i="121"/>
  <c r="C133" i="111"/>
  <c r="D111" i="111"/>
  <c r="D114" i="111" s="1"/>
  <c r="F108" i="111"/>
  <c r="E109" i="111"/>
  <c r="E115" i="111"/>
  <c r="E117" i="111"/>
  <c r="E110" i="111"/>
  <c r="L285" i="72"/>
  <c r="J799" i="121" l="1"/>
  <c r="C119" i="111"/>
  <c r="C127" i="111" s="1"/>
  <c r="K98" i="111"/>
  <c r="K791" i="121"/>
  <c r="E39" i="87"/>
  <c r="B121" i="111"/>
  <c r="B131" i="111" s="1"/>
  <c r="C804" i="121"/>
  <c r="D104" i="111"/>
  <c r="C121" i="111"/>
  <c r="C126" i="111" s="1"/>
  <c r="J798" i="121"/>
  <c r="J801" i="121"/>
  <c r="B805" i="121"/>
  <c r="C105" i="111"/>
  <c r="B127" i="111"/>
  <c r="D116" i="111"/>
  <c r="D132" i="111" s="1"/>
  <c r="E125" i="111"/>
  <c r="D825" i="121"/>
  <c r="C833" i="121"/>
  <c r="D133" i="111"/>
  <c r="F109" i="111"/>
  <c r="F117" i="111"/>
  <c r="F115" i="111"/>
  <c r="F110" i="111"/>
  <c r="E111" i="111"/>
  <c r="E114" i="111" s="1"/>
  <c r="Q339" i="73"/>
  <c r="H152" i="72"/>
  <c r="C131" i="111" l="1"/>
  <c r="B126" i="111"/>
  <c r="H41" i="87"/>
  <c r="C129" i="111"/>
  <c r="C822" i="121"/>
  <c r="C128" i="111"/>
  <c r="E41" i="87"/>
  <c r="C821" i="121"/>
  <c r="D804" i="121"/>
  <c r="E104" i="111"/>
  <c r="B129" i="111"/>
  <c r="B822" i="121"/>
  <c r="H40" i="87"/>
  <c r="B128" i="111"/>
  <c r="B821" i="121"/>
  <c r="E40" i="87"/>
  <c r="C805" i="121"/>
  <c r="D105" i="111"/>
  <c r="K99" i="111"/>
  <c r="K792" i="121"/>
  <c r="K799" i="121" s="1"/>
  <c r="H39" i="87"/>
  <c r="K96" i="111"/>
  <c r="K796" i="121" s="1"/>
  <c r="K101" i="111"/>
  <c r="K798" i="121"/>
  <c r="E116" i="111"/>
  <c r="E132" i="111" s="1"/>
  <c r="D119" i="111"/>
  <c r="F125" i="111"/>
  <c r="F825" i="121" s="1"/>
  <c r="E825" i="121"/>
  <c r="D833" i="121"/>
  <c r="E133" i="111"/>
  <c r="F111" i="111"/>
  <c r="F114" i="111" s="1"/>
  <c r="L184" i="72"/>
  <c r="B829" i="121" l="1"/>
  <c r="E119" i="111"/>
  <c r="E127" i="111" s="1"/>
  <c r="E804" i="121"/>
  <c r="F104" i="111"/>
  <c r="D121" i="111"/>
  <c r="D805" i="121"/>
  <c r="E105" i="111"/>
  <c r="C828" i="121"/>
  <c r="C831" i="121"/>
  <c r="K801" i="121"/>
  <c r="B828" i="121"/>
  <c r="B831" i="121"/>
  <c r="C829" i="121"/>
  <c r="D127" i="111"/>
  <c r="F116" i="111"/>
  <c r="F132" i="111" s="1"/>
  <c r="E833" i="121"/>
  <c r="F133" i="111"/>
  <c r="F833" i="121" s="1"/>
  <c r="L242" i="72"/>
  <c r="P225" i="72"/>
  <c r="R225" i="72"/>
  <c r="Q18" i="72"/>
  <c r="E121" i="111" l="1"/>
  <c r="E126" i="111" s="1"/>
  <c r="D131" i="111"/>
  <c r="E805" i="121"/>
  <c r="F105" i="111"/>
  <c r="E43" i="87"/>
  <c r="H42" i="87"/>
  <c r="D822" i="121"/>
  <c r="D129" i="111"/>
  <c r="D126" i="111"/>
  <c r="E42" i="87"/>
  <c r="D128" i="111"/>
  <c r="D821" i="121"/>
  <c r="F804" i="121"/>
  <c r="G104" i="111"/>
  <c r="F119" i="111"/>
  <c r="F31" i="72"/>
  <c r="F30" i="72"/>
  <c r="E30" i="72"/>
  <c r="F29" i="72"/>
  <c r="E29" i="72"/>
  <c r="F28" i="72"/>
  <c r="F27" i="72"/>
  <c r="F26" i="72"/>
  <c r="N210" i="73"/>
  <c r="J274" i="72"/>
  <c r="K226" i="72"/>
  <c r="J113" i="72"/>
  <c r="M56" i="73"/>
  <c r="F24" i="72"/>
  <c r="F23" i="72"/>
  <c r="F22" i="72"/>
  <c r="P310" i="72"/>
  <c r="E24" i="72"/>
  <c r="E821" i="121" l="1"/>
  <c r="E128" i="111"/>
  <c r="D829" i="121"/>
  <c r="F121" i="111"/>
  <c r="F131" i="111" s="1"/>
  <c r="H104" i="111"/>
  <c r="G804" i="121"/>
  <c r="H43" i="87"/>
  <c r="E129" i="111"/>
  <c r="E822" i="121"/>
  <c r="E829" i="121" s="1"/>
  <c r="E828" i="121"/>
  <c r="F805" i="121"/>
  <c r="G105" i="111"/>
  <c r="D828" i="121"/>
  <c r="D831" i="121"/>
  <c r="E131" i="111"/>
  <c r="F127"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E831" i="121" l="1"/>
  <c r="F126" i="111"/>
  <c r="G805" i="121"/>
  <c r="H105" i="111"/>
  <c r="H804" i="121"/>
  <c r="I104" i="111"/>
  <c r="F129" i="111"/>
  <c r="H44" i="87"/>
  <c r="F822" i="121"/>
  <c r="E44" i="87"/>
  <c r="F128" i="111"/>
  <c r="F821" i="121"/>
  <c r="O113" i="72"/>
  <c r="P113" i="72"/>
  <c r="Q436" i="72"/>
  <c r="Q435" i="72"/>
  <c r="P434" i="72"/>
  <c r="E31" i="72"/>
  <c r="L424" i="72"/>
  <c r="Q410" i="72"/>
  <c r="Q409" i="72"/>
  <c r="Q408" i="72"/>
  <c r="Q407" i="72"/>
  <c r="P405" i="72"/>
  <c r="E28" i="72"/>
  <c r="F828" i="121" l="1"/>
  <c r="F831" i="121"/>
  <c r="F829" i="121"/>
  <c r="I804" i="121"/>
  <c r="J104" i="111"/>
  <c r="H805" i="121"/>
  <c r="I105" i="111"/>
  <c r="AF57" i="72"/>
  <c r="AI57" i="72"/>
  <c r="AE57" i="72"/>
  <c r="AH57" i="72"/>
  <c r="AD57" i="72"/>
  <c r="AG57" i="72"/>
  <c r="AF61" i="72"/>
  <c r="AI61" i="72"/>
  <c r="AH61" i="72"/>
  <c r="AG61" i="72"/>
  <c r="L434" i="72"/>
  <c r="Z61" i="72"/>
  <c r="AC61" i="72"/>
  <c r="AA61" i="72"/>
  <c r="X57" i="72"/>
  <c r="AA57" i="72"/>
  <c r="Z57" i="72"/>
  <c r="AC57" i="72"/>
  <c r="Y57" i="72"/>
  <c r="P285" i="72"/>
  <c r="E23" i="72"/>
  <c r="I805" i="121" l="1"/>
  <c r="J105" i="111"/>
  <c r="J804" i="121"/>
  <c r="K104" i="111"/>
  <c r="AH50" i="72"/>
  <c r="AD50" i="72"/>
  <c r="AG50" i="72"/>
  <c r="AF50" i="72"/>
  <c r="AI50" i="72"/>
  <c r="AE50" i="72"/>
  <c r="Z50" i="72"/>
  <c r="AC50" i="72"/>
  <c r="Y50" i="72"/>
  <c r="AB50" i="72"/>
  <c r="X50" i="72"/>
  <c r="AA50" i="72"/>
  <c r="E22" i="72"/>
  <c r="M235" i="72"/>
  <c r="Q277" i="72"/>
  <c r="Q276" i="72"/>
  <c r="K804" i="121" l="1"/>
  <c r="B134" i="111"/>
  <c r="J805" i="121"/>
  <c r="K105" i="111"/>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805" i="121" l="1"/>
  <c r="B135" i="111"/>
  <c r="B834" i="121"/>
  <c r="C134" i="111"/>
  <c r="I408" i="73"/>
  <c r="I411" i="73"/>
  <c r="I405" i="73"/>
  <c r="C834" i="121" l="1"/>
  <c r="D134" i="111"/>
  <c r="B835" i="121"/>
  <c r="C135" i="111"/>
  <c r="AB36" i="72"/>
  <c r="AE40" i="72"/>
  <c r="Y40" i="72"/>
  <c r="AD42" i="72"/>
  <c r="AD46" i="72"/>
  <c r="AD40" i="72"/>
  <c r="X46" i="72"/>
  <c r="X40" i="72"/>
  <c r="X36" i="72"/>
  <c r="C835" i="121" l="1"/>
  <c r="D135" i="111"/>
  <c r="D834" i="121"/>
  <c r="E134" i="111"/>
  <c r="N354" i="73"/>
  <c r="N371" i="73"/>
  <c r="E834" i="121" l="1"/>
  <c r="F134" i="111"/>
  <c r="F834" i="121" s="1"/>
  <c r="D835" i="121"/>
  <c r="E135" i="111"/>
  <c r="F73" i="98"/>
  <c r="K73" i="98"/>
  <c r="F74" i="98"/>
  <c r="F70" i="98"/>
  <c r="K74" i="98"/>
  <c r="F71" i="98"/>
  <c r="K70" i="98"/>
  <c r="F72" i="98"/>
  <c r="K71" i="98"/>
  <c r="K72" i="98"/>
  <c r="E835" i="121" l="1"/>
  <c r="F135" i="111"/>
  <c r="F835" i="121" s="1"/>
  <c r="N72" i="98"/>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I58" i="82"/>
  <c r="F58" i="82"/>
  <c r="D58" i="82"/>
  <c r="E58" i="82"/>
  <c r="C58" i="82"/>
  <c r="H58" i="82"/>
  <c r="B58" i="82"/>
  <c r="G58" i="82"/>
  <c r="J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<sst xmlns="http://schemas.openxmlformats.org/spreadsheetml/2006/main" count="14346" uniqueCount="5232">
  <si>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</si>
  <si>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</si>
  <si>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</si>
  <si>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</si>
  <si>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</si>
  <si>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</si>
  <si>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</si>
  <si>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</si>
  <si>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</si>
  <si>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</si>
  <si>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</si>
  <si>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</si>
  <si>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</si>
  <si>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</si>
  <si>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</si>
  <si>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</si>
  <si>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</si>
  <si>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</si>
  <si>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</si>
  <si>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</si>
  <si>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</si>
  <si>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</si>
  <si>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</si>
  <si>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</si>
  <si>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</si>
  <si>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</si>
  <si>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</si>
  <si>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</si>
  <si>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</si>
  <si>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</si>
  <si>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</si>
  <si>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</si>
  <si>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</si>
  <si>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</si>
  <si>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</si>
  <si>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</si>
  <si>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</si>
  <si>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</si>
  <si>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</si>
  <si>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</si>
  <si>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</si>
  <si>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</si>
  <si>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</si>
  <si>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</si>
  <si>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</si>
  <si>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</si>
  <si>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</si>
  <si>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</si>
  <si>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</si>
  <si>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</si>
  <si>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</si>
  <si>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</si>
  <si>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</si>
  <si>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</si>
  <si>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</si>
  <si>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</si>
  <si>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</si>
  <si>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</si>
  <si>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</si>
  <si>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</si>
  <si>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</si>
  <si>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</si>
  <si>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</si>
  <si>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</si>
  <si>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</si>
  <si>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</si>
  <si>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</si>
  <si>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</si>
  <si>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</si>
  <si>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</si>
  <si>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</si>
  <si>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</si>
  <si>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</si>
  <si>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</si>
  <si>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</si>
  <si>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</si>
  <si>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</si>
  <si>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</si>
  <si>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</si>
  <si>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</si>
  <si>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</si>
  <si>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</si>
  <si>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</si>
  <si>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</si>
  <si>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</si>
  <si>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</si>
  <si>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</si>
  <si>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</si>
  <si>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</si>
  <si>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</si>
  <si>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</si>
  <si>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</si>
  <si>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</si>
  <si>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</si>
  <si>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</si>
  <si>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</si>
  <si>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</si>
  <si>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</si>
  <si>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</si>
  <si>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</si>
  <si>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</si>
  <si>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</si>
  <si>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</si>
  <si>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</si>
  <si>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</si>
  <si>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</si>
  <si>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</si>
  <si>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</si>
  <si>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</si>
  <si>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</si>
  <si>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</si>
  <si>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</si>
  <si>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</si>
  <si>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</si>
  <si>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</si>
  <si>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</si>
  <si>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</si>
  <si>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</si>
  <si>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</si>
  <si>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</si>
  <si>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</si>
  <si>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</si>
  <si>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</si>
  <si>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</si>
  <si>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</si>
  <si>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</si>
  <si>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</si>
  <si>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</si>
  <si>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</si>
  <si>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</si>
  <si>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</si>
  <si>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</si>
  <si>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</si>
  <si>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</si>
  <si>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</si>
  <si>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</si>
  <si>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</si>
  <si>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</si>
  <si>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</si>
  <si>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</si>
  <si>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</si>
  <si>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</si>
  <si>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</si>
  <si>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</si>
  <si>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</si>
  <si>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</si>
  <si>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</si>
  <si>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</si>
  <si>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</si>
  <si>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</si>
  <si>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</si>
  <si>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</si>
  <si>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</si>
  <si>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</si>
  <si>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</si>
  <si>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</si>
  <si>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</si>
  <si>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</si>
  <si>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</si>
  <si>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</si>
  <si>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</si>
  <si>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</si>
  <si>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</si>
  <si>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</si>
  <si>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</si>
  <si>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</si>
  <si>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</si>
  <si>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</si>
  <si>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</si>
  <si>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</si>
  <si>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</si>
  <si>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</si>
  <si>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</si>
  <si>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</si>
  <si>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</si>
  <si>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</si>
  <si>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</si>
  <si>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</si>
  <si>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</si>
  <si>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</si>
  <si>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</si>
  <si>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</si>
  <si>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</si>
  <si>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</si>
  <si>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</si>
  <si>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</si>
  <si>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</si>
  <si>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</si>
  <si>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</si>
  <si>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</si>
  <si>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</si>
  <si>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</si>
  <si>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</si>
  <si>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</si>
  <si>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</si>
  <si>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</si>
  <si>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</si>
  <si>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</si>
  <si>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</si>
  <si>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</si>
  <si>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</si>
  <si>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</si>
  <si>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</si>
  <si>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</si>
  <si>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</si>
  <si>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</si>
  <si>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</si>
  <si>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</si>
  <si>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</si>
  <si>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</si>
  <si>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</si>
  <si>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</si>
  <si>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</si>
  <si>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</si>
  <si>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</si>
  <si>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</si>
  <si>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</si>
  <si>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</si>
  <si>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</si>
  <si>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</si>
  <si>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</si>
  <si>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</si>
  <si>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</si>
  <si>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</si>
  <si>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</si>
  <si>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</si>
  <si>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</si>
  <si>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</si>
  <si>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</si>
  <si>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</si>
  <si>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</si>
  <si>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</si>
  <si>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</si>
  <si>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</si>
  <si>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</si>
  <si>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</si>
  <si>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</si>
  <si>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</si>
  <si>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</si>
  <si>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</si>
  <si>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</si>
  <si>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</si>
  <si>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</si>
  <si>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</si>
  <si>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</si>
  <si>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</si>
  <si>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</si>
  <si>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</si>
  <si>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</si>
  <si>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</si>
  <si>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</si>
  <si>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</si>
  <si>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</si>
  <si>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</si>
  <si>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</si>
  <si>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</si>
  <si>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</si>
  <si>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</si>
  <si>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</si>
  <si>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</si>
  <si>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</si>
  <si>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</si>
  <si>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</si>
  <si>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</si>
  <si>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</si>
  <si>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</si>
  <si>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</si>
  <si>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</si>
  <si>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</si>
  <si>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</si>
  <si>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</si>
  <si>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</si>
  <si>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</si>
  <si>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</si>
  <si>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</si>
  <si>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</si>
  <si>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</si>
  <si>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</si>
  <si>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</si>
  <si>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</si>
  <si>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</si>
  <si>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</si>
  <si>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</si>
  <si>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</si>
  <si>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</si>
  <si>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</si>
  <si>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</si>
  <si>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</si>
  <si>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</si>
  <si>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</si>
  <si>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</si>
  <si>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</si>
  <si>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</si>
  <si>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</si>
  <si>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</si>
  <si>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</si>
  <si>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</si>
  <si>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</si>
  <si>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</si>
  <si>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</si>
  <si>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</si>
  <si>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</si>
  <si>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</si>
  <si>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</si>
  <si>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</si>
  <si>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</si>
  <si>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</si>
  <si>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</si>
  <si>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</si>
  <si>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</si>
  <si>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</si>
  <si>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</si>
  <si>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</si>
  <si>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</si>
  <si>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</si>
  <si>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</si>
  <si>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</si>
  <si>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</si>
  <si>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</si>
  <si>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</si>
  <si>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</si>
  <si>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</si>
  <si>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</si>
  <si>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</si>
  <si>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</si>
  <si>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</si>
  <si>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</si>
  <si>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</si>
  <si>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</si>
  <si>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</si>
  <si>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</si>
  <si>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</si>
  <si>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</si>
  <si>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</si>
  <si>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</si>
  <si>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</si>
  <si>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</si>
  <si>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</si>
  <si>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</si>
  <si>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</si>
  <si>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</si>
  <si>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</si>
  <si>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</si>
  <si>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</si>
  <si>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</si>
  <si>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</si>
  <si>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</si>
  <si>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</si>
  <si>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</si>
  <si>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</si>
  <si>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</si>
  <si>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</si>
  <si>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</si>
  <si>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</si>
  <si>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</si>
  <si>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</si>
  <si>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</si>
  <si>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</si>
  <si>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</si>
  <si>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</si>
  <si>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</si>
  <si>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</si>
  <si>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</si>
  <si>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</si>
  <si>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</si>
  <si>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</si>
  <si>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</si>
  <si>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</si>
  <si>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</si>
  <si>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</si>
  <si>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</si>
  <si>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</si>
  <si>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</si>
  <si>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</si>
  <si>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</si>
  <si>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</si>
  <si>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</si>
  <si>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</si>
  <si>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</si>
  <si>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</si>
  <si>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</si>
  <si>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</si>
  <si>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</si>
  <si>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</si>
  <si>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</si>
  <si>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</si>
  <si>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</si>
  <si>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</si>
  <si>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</si>
  <si>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</si>
  <si>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</si>
  <si>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</si>
  <si>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</si>
  <si>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</si>
  <si>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</si>
  <si>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</si>
  <si>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</si>
  <si>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</si>
  <si>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</si>
  <si>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</si>
  <si>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</si>
  <si>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</si>
  <si>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</si>
  <si>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</si>
  <si>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</si>
  <si>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</si>
  <si>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</si>
  <si>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</si>
  <si>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</si>
  <si>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</si>
  <si>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</si>
  <si>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</si>
  <si>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</si>
  <si>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</si>
  <si>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</si>
  <si>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</si>
  <si>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</si>
  <si>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</si>
  <si>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</si>
  <si>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</si>
  <si>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</si>
  <si>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</si>
  <si>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</si>
  <si>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</si>
  <si>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</si>
  <si>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</si>
  <si>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</si>
  <si>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</si>
  <si>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</si>
  <si>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</si>
  <si>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</si>
  <si>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</si>
  <si>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</si>
  <si>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</si>
  <si>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</si>
  <si>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</si>
  <si>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</si>
  <si>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</si>
  <si>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</si>
  <si>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</si>
  <si>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</si>
  <si>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</si>
  <si>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</si>
  <si>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</si>
  <si>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</si>
  <si>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</si>
  <si>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</si>
  <si>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</si>
  <si>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</si>
  <si>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</si>
  <si>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</si>
  <si>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</si>
  <si>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</si>
  <si>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</si>
  <si>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</si>
  <si>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</si>
  <si>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</si>
  <si>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</si>
  <si>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</si>
  <si>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</si>
  <si>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</si>
  <si>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</si>
  <si>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</si>
  <si>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</si>
  <si>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</si>
  <si>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</si>
  <si>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</si>
  <si>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</si>
  <si>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</si>
  <si>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</si>
  <si>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</si>
  <si>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</si>
  <si>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</si>
  <si>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</si>
  <si>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</si>
  <si>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</si>
  <si>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</si>
  <si>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</si>
  <si>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</si>
  <si>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</si>
  <si>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</si>
  <si>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</si>
  <si>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</si>
  <si>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</si>
  <si>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</si>
  <si>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</si>
  <si>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</si>
  <si>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</si>
  <si>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</si>
  <si>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</si>
  <si>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</si>
  <si>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</si>
  <si>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</si>
  <si>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</si>
  <si>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</si>
  <si>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</si>
  <si>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</si>
  <si>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</si>
  <si>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</si>
  <si>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</si>
  <si>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</si>
  <si>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</si>
  <si>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</si>
  <si>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</si>
  <si>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</si>
  <si>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</si>
  <si>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</si>
  <si>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</si>
  <si>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</si>
  <si>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</si>
  <si>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</si>
  <si>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</si>
  <si>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</si>
  <si>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</si>
  <si>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</si>
  <si>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</si>
  <si>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</si>
  <si>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</si>
  <si>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</si>
  <si>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</si>
  <si>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</si>
  <si>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</si>
  <si>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</si>
  <si>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</si>
  <si>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</si>
  <si>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</si>
  <si>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</si>
  <si>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</si>
  <si>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</si>
  <si>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</si>
  <si>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</si>
  <si>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</si>
  <si>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</si>
  <si>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</si>
  <si>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</si>
  <si>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</si>
  <si>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</si>
  <si>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</si>
  <si>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</si>
  <si>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</si>
  <si>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</si>
  <si>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</si>
  <si>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</si>
  <si>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</si>
  <si>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</si>
  <si>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</si>
  <si>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</si>
  <si>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</si>
  <si>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</si>
  <si>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</si>
  <si>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</si>
  <si>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</si>
  <si>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</si>
  <si>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</si>
  <si>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</si>
  <si>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</si>
  <si>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</si>
  <si>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</si>
  <si>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</si>
  <si>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</si>
  <si>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</si>
  <si>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</si>
  <si>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</si>
  <si>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</si>
  <si>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</si>
  <si>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</si>
  <si>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</si>
  <si>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</si>
  <si>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</si>
  <si>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</si>
  <si>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</si>
  <si>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</si>
  <si>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</si>
  <si>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</si>
  <si>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</si>
  <si>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</si>
  <si>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</si>
  <si>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</si>
  <si>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</si>
  <si>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</si>
  <si>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</si>
  <si>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</si>
  <si>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</si>
  <si>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</si>
  <si>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</si>
  <si>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</si>
  <si>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</si>
  <si>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</si>
  <si>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</si>
  <si>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</si>
  <si>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</si>
  <si>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</si>
  <si>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</si>
  <si>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</si>
  <si>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</si>
  <si>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</si>
  <si>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</si>
  <si>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</si>
  <si>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</si>
  <si>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</si>
  <si>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</si>
  <si>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</si>
  <si>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</si>
  <si>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</si>
  <si>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</si>
  <si>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</si>
  <si>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</si>
  <si>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</si>
  <si>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</si>
  <si>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</si>
  <si>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</si>
  <si>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</si>
  <si>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</si>
  <si>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</si>
  <si>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</si>
  <si>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</si>
  <si>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</si>
  <si>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</si>
  <si>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</si>
  <si>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</si>
  <si>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</si>
  <si>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</si>
  <si>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</si>
  <si>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</si>
  <si>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</si>
  <si>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</si>
  <si>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</si>
  <si>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</si>
  <si>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</si>
  <si>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</si>
  <si>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</si>
  <si>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</si>
  <si>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</si>
  <si>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</si>
  <si>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</si>
  <si>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</si>
  <si>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</si>
  <si>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</si>
  <si>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</si>
  <si>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</si>
  <si>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</si>
  <si>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</si>
  <si>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</si>
  <si>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</si>
  <si>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</si>
  <si>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</si>
  <si>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</si>
  <si>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</si>
  <si>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</si>
  <si>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</si>
  <si>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</si>
  <si>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</si>
  <si>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</si>
  <si>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</si>
  <si>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</si>
  <si>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</si>
  <si>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</si>
  <si>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</si>
  <si>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</si>
  <si>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</si>
  <si>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</si>
  <si>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</si>
  <si>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</si>
  <si>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</si>
  <si>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</si>
  <si>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</si>
  <si>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</si>
  <si>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</si>
  <si>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</si>
  <si>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</si>
  <si>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</si>
  <si>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</si>
  <si>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</si>
  <si>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</si>
  <si>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</si>
  <si>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</si>
  <si>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</si>
  <si>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</si>
  <si>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</si>
  <si>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</si>
  <si>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</si>
  <si>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</si>
  <si>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</si>
  <si>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</si>
  <si>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</si>
  <si>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</si>
  <si>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</si>
  <si>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</si>
  <si>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</si>
  <si>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</si>
  <si>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</si>
  <si>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</si>
  <si>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</si>
  <si>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</si>
  <si>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</si>
  <si>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</si>
  <si>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</si>
  <si>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</si>
  <si>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</si>
  <si>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</si>
  <si>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</si>
  <si>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</si>
  <si>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</si>
  <si>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</si>
  <si>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</si>
  <si>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</si>
  <si>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</si>
  <si>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</si>
  <si>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</si>
  <si>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</si>
  <si>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</si>
  <si>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</si>
  <si>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</si>
  <si>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</si>
  <si>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</si>
  <si>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</si>
  <si>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</si>
  <si>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</si>
  <si>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</si>
  <si>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</si>
  <si>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</si>
  <si>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</si>
  <si>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</si>
  <si>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</si>
  <si>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</si>
  <si>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</si>
  <si>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</si>
  <si>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</si>
  <si>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</si>
  <si>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</si>
  <si>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</si>
  <si>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</si>
  <si>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</si>
  <si>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</si>
  <si>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</si>
  <si>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</si>
  <si>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</si>
  <si>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</si>
  <si>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</si>
  <si>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</si>
  <si>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</si>
  <si>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</si>
  <si>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</si>
  <si>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</si>
  <si>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</si>
  <si>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</si>
  <si>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</si>
  <si>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</si>
  <si>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</si>
  <si>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</si>
  <si>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</si>
  <si>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</si>
  <si>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</si>
  <si>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</si>
  <si>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</si>
  <si>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</si>
  <si>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</si>
  <si>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</si>
  <si>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</si>
  <si>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</si>
  <si>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</si>
  <si>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</si>
  <si>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</si>
  <si>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</si>
  <si>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</si>
  <si>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</si>
  <si>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</si>
  <si>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</si>
  <si>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</si>
  <si>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</si>
  <si>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</si>
  <si>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</si>
  <si>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</si>
  <si>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</si>
  <si>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</si>
  <si>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</si>
  <si>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</si>
  <si>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</si>
  <si>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</si>
  <si>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</si>
  <si>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</si>
  <si>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</si>
  <si>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</si>
  <si>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</si>
  <si>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</si>
  <si>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</si>
  <si>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</si>
  <si>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</si>
  <si>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</si>
  <si>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</si>
  <si>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</si>
  <si>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</si>
  <si>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</si>
  <si>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</si>
  <si>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</si>
  <si>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</si>
  <si>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</si>
  <si>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</si>
  <si>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</si>
  <si>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</si>
  <si>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</si>
  <si>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</si>
  <si>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</si>
  <si>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</si>
  <si>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</si>
  <si>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</si>
  <si>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</si>
  <si>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</si>
  <si>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</si>
  <si>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</si>
  <si>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</si>
  <si>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</si>
  <si>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</si>
  <si>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</si>
  <si>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</si>
  <si>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</si>
  <si>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</si>
  <si>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</si>
  <si>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</si>
  <si>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</si>
  <si>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</si>
  <si>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</si>
  <si>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</si>
  <si>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</si>
  <si>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</si>
  <si>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</si>
  <si>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</si>
  <si>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</si>
  <si>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</si>
  <si>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</si>
  <si>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</si>
  <si>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</si>
  <si>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</si>
  <si>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</si>
  <si>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</si>
  <si>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</si>
  <si>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</si>
  <si>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</si>
  <si>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</si>
  <si>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</si>
  <si>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</si>
  <si>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</si>
  <si>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</si>
  <si>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</si>
  <si>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</si>
  <si>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</si>
  <si>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</si>
  <si>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</si>
  <si>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</si>
  <si>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</si>
  <si>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</si>
  <si>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</si>
  <si>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</si>
  <si>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</si>
  <si>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</si>
  <si>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</si>
  <si>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</si>
  <si>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</si>
  <si>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</si>
  <si>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</si>
  <si>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</si>
  <si>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</si>
  <si>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</si>
  <si>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</si>
  <si>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</si>
  <si>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</si>
  <si>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</si>
  <si>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</si>
  <si>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</si>
  <si>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</si>
  <si>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</si>
  <si>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</si>
  <si>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</si>
  <si>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</si>
  <si>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</si>
  <si>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</si>
  <si>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</si>
  <si>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</si>
  <si>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</si>
  <si>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</si>
  <si>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</si>
  <si>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</si>
  <si>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</si>
  <si>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</si>
  <si>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</si>
  <si>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</si>
  <si>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</si>
  <si>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</si>
  <si>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</si>
  <si>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</si>
  <si>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</si>
  <si>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</si>
  <si>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</si>
  <si>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</si>
  <si>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</si>
  <si>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</si>
  <si>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</si>
  <si>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</si>
  <si>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</si>
  <si>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</si>
  <si>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</si>
  <si>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</si>
  <si>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</si>
  <si>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</si>
  <si>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</si>
  <si>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</si>
  <si>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</si>
  <si>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</si>
  <si>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</si>
  <si>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</si>
  <si>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</si>
  <si>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</si>
  <si>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</si>
  <si>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</si>
  <si>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</si>
  <si>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</si>
  <si>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</si>
  <si>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</si>
  <si>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</si>
  <si>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</si>
  <si>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</si>
  <si>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</si>
  <si>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</si>
  <si>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</si>
  <si>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</si>
  <si>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</si>
  <si>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</si>
  <si>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</si>
  <si>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</si>
  <si>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</si>
  <si>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</si>
  <si>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</si>
  <si>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</si>
  <si>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</si>
  <si>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</si>
  <si>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</si>
  <si>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</si>
  <si>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</si>
  <si>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</si>
  <si>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</si>
  <si>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</si>
  <si>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</si>
  <si>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</si>
  <si>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</si>
  <si>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</si>
  <si>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</si>
  <si>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</si>
  <si>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</si>
  <si>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</si>
  <si>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</si>
  <si>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</si>
  <si>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</si>
  <si>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</si>
  <si>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</si>
  <si>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</si>
  <si>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</si>
  <si>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</si>
  <si>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</si>
  <si>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</si>
  <si>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</si>
  <si>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</si>
  <si>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</si>
  <si>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</si>
  <si>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</si>
  <si>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</si>
  <si>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</si>
  <si>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</si>
  <si>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</si>
  <si>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</si>
  <si>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</si>
  <si>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</si>
  <si>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</si>
  <si>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</si>
  <si>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</si>
  <si>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</si>
  <si>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</si>
  <si>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</si>
  <si>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</si>
  <si>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</si>
  <si>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</si>
  <si>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</si>
  <si>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</si>
  <si>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</si>
  <si>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</si>
  <si>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</si>
  <si>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</si>
  <si>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</si>
  <si>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</si>
  <si>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</si>
  <si>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</si>
  <si>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</si>
  <si>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</si>
  <si>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</si>
  <si>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</si>
  <si>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</si>
  <si>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</si>
  <si>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</si>
  <si>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</si>
  <si>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</si>
  <si>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</si>
  <si>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</si>
  <si>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</si>
  <si>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</si>
  <si>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</si>
  <si>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</si>
  <si>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</si>
  <si>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</si>
  <si>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</si>
  <si>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</si>
  <si>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</si>
  <si>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</si>
  <si>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</si>
  <si>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</si>
  <si>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</si>
  <si>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</si>
  <si>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</si>
  <si>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</si>
  <si>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</si>
  <si>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</si>
  <si>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</si>
  <si>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</si>
  <si>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</si>
  <si>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</si>
  <si>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</si>
  <si>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</si>
  <si>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</si>
  <si>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</si>
  <si>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</si>
  <si>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</si>
  <si>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</si>
  <si>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</si>
  <si>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</si>
  <si>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</si>
  <si>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</si>
  <si>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</si>
  <si>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</si>
  <si>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</si>
  <si>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</si>
  <si>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</si>
  <si>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</si>
  <si>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</si>
  <si>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</si>
  <si>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</si>
  <si>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</si>
  <si>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</si>
  <si>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</si>
  <si>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</si>
  <si>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</si>
  <si>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</si>
  <si>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</si>
  <si>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</si>
  <si>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</si>
  <si>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</si>
  <si>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</si>
  <si>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</si>
  <si>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</si>
  <si>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</si>
  <si>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</si>
  <si>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</si>
  <si>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</si>
  <si>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</si>
  <si>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</si>
  <si>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</si>
  <si>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</si>
  <si>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</si>
  <si>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</si>
  <si>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</si>
  <si>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</si>
  <si>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</si>
  <si>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</si>
  <si>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</si>
  <si>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</si>
  <si>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</si>
  <si>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</si>
  <si>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</si>
  <si>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</si>
  <si>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</si>
  <si>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</si>
  <si>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</si>
  <si>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</si>
  <si>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</si>
  <si>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</si>
  <si>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</si>
  <si>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</si>
  <si>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</si>
  <si>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</si>
  <si>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</si>
  <si>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</si>
  <si>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</si>
  <si>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</si>
  <si>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</si>
  <si>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</si>
  <si>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</si>
  <si>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</si>
  <si>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</si>
  <si>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</si>
  <si>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</si>
  <si>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</si>
  <si>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</si>
  <si>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</si>
  <si>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</si>
  <si>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</si>
  <si>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</si>
  <si>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</si>
  <si>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</si>
  <si>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</si>
  <si>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</si>
  <si>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</si>
  <si>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</si>
  <si>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</si>
  <si>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</si>
  <si>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</si>
  <si>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</si>
  <si>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</si>
  <si>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</si>
  <si>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</si>
  <si>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</si>
  <si>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</si>
  <si>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</si>
  <si>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</si>
  <si>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</si>
  <si>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</si>
  <si>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</si>
  <si>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</si>
  <si>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</si>
  <si>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</si>
  <si>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</si>
  <si>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</si>
  <si>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</si>
  <si>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</si>
  <si>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</si>
  <si>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</si>
  <si>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</si>
  <si>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</si>
  <si>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</si>
  <si>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</si>
  <si>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</si>
  <si>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</si>
  <si>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</si>
  <si>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</si>
  <si>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</si>
  <si>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</si>
  <si>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</si>
  <si>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</si>
  <si>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</si>
  <si>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</si>
  <si>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</si>
  <si>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</si>
  <si>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</si>
  <si>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</si>
  <si>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</si>
  <si>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</si>
  <si>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</si>
  <si>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</si>
  <si>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</si>
  <si>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</si>
  <si>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</si>
  <si>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</si>
  <si>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</si>
  <si>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</si>
  <si>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</si>
  <si>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</si>
  <si>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</si>
  <si>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</si>
  <si>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</si>
  <si>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</si>
  <si>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</si>
  <si>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</si>
  <si>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</si>
  <si>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</si>
  <si>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</si>
  <si>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</si>
  <si>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</si>
  <si>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</si>
  <si>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</si>
  <si>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</si>
  <si>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</si>
  <si>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</si>
  <si>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</si>
  <si>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</si>
  <si>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</si>
  <si>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</si>
  <si>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</si>
  <si>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</si>
  <si>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</si>
  <si>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</si>
  <si>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</si>
  <si>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</si>
  <si>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</si>
  <si>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</si>
  <si>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</si>
  <si>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</si>
  <si>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</si>
  <si>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</si>
  <si>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</si>
  <si>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</si>
  <si>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</si>
  <si>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</si>
  <si>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</si>
  <si>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</si>
  <si>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</si>
  <si>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</si>
  <si>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</si>
  <si>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</si>
  <si>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</si>
  <si>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</si>
  <si>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</si>
  <si>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</si>
  <si>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</si>
  <si>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</si>
  <si>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</si>
  <si>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</si>
  <si>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</si>
  <si>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</si>
  <si>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</si>
  <si>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</si>
  <si>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</si>
  <si>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</si>
  <si>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</si>
  <si>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</si>
  <si>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</si>
  <si>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</si>
  <si>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</si>
  <si>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</si>
  <si>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</si>
  <si>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</si>
  <si>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</si>
  <si>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</si>
  <si>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</si>
  <si>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</si>
  <si>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</si>
  <si>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</si>
  <si>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</si>
  <si>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</si>
  <si>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</si>
  <si>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</si>
  <si>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</si>
  <si>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</si>
  <si>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</si>
  <si>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</si>
  <si>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</si>
  <si>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</si>
  <si>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</si>
  <si>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</si>
  <si>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</si>
  <si>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</si>
  <si>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</si>
  <si>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</si>
  <si>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</si>
  <si>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</si>
  <si>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</si>
  <si>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</si>
  <si>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</si>
  <si>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</si>
  <si>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</si>
  <si>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</si>
  <si>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</si>
  <si>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</si>
  <si>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</si>
  <si>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</si>
  <si>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</si>
  <si>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</si>
  <si>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</si>
  <si>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</si>
  <si>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</si>
  <si>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</si>
  <si>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</si>
  <si>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</si>
  <si>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</si>
  <si>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</si>
  <si>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</si>
  <si>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</si>
  <si>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</si>
  <si>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</si>
  <si>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</si>
  <si>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</si>
  <si>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</si>
  <si>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</si>
  <si>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</si>
  <si>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</si>
  <si>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</si>
  <si>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</si>
  <si>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</si>
  <si>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</si>
  <si>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</si>
  <si>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</si>
  <si>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</si>
  <si>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</si>
  <si>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</si>
  <si>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</si>
  <si>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</si>
  <si>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</si>
  <si>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</si>
  <si>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</si>
  <si>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</si>
  <si>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</si>
  <si>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</si>
  <si>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</si>
  <si>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</si>
  <si>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</si>
  <si>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</si>
  <si>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</si>
  <si>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</si>
  <si>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</si>
  <si>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</si>
  <si>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</si>
  <si>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</si>
  <si>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</si>
  <si>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</si>
  <si>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</si>
  <si>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</si>
  <si>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</si>
  <si>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</si>
  <si>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</si>
  <si>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</si>
  <si>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</si>
  <si>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</si>
  <si>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</si>
  <si>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</si>
  <si>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</si>
  <si>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</si>
  <si>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</si>
  <si>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</si>
  <si>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</si>
  <si>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</si>
  <si>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</si>
  <si>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</si>
  <si>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</si>
  <si>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</si>
  <si>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</si>
  <si>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</si>
  <si>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</si>
  <si>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</si>
  <si>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</si>
  <si>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</si>
  <si>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</si>
  <si>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</si>
  <si>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</si>
  <si>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</si>
  <si>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</si>
  <si>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</si>
  <si>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</si>
  <si>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</si>
  <si>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</si>
  <si>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</si>
  <si>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</si>
  <si>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</si>
  <si>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</si>
  <si>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</si>
  <si>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</si>
  <si>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</si>
  <si>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</si>
  <si>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</si>
  <si>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</si>
  <si>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</si>
  <si>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</si>
  <si>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</si>
  <si>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</si>
  <si>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</si>
  <si>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</si>
  <si>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</si>
  <si>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</si>
  <si>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</si>
  <si>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</si>
  <si>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</si>
  <si>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</si>
  <si>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</si>
  <si>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</si>
  <si>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</si>
  <si>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</si>
  <si>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</si>
  <si>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</si>
  <si>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</si>
  <si>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</si>
  <si>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</si>
  <si>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</si>
  <si>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</si>
  <si>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</si>
  <si>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</si>
  <si>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</si>
  <si>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</si>
  <si>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</si>
  <si>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</si>
  <si>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</si>
  <si>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</si>
  <si>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</si>
  <si>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</si>
  <si>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</si>
  <si>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</si>
  <si>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</si>
  <si>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</si>
  <si>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</si>
  <si>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</si>
  <si>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</si>
  <si>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</si>
  <si>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</si>
  <si>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</si>
  <si>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</si>
  <si>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</si>
  <si>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</si>
  <si>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</si>
  <si>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</si>
  <si>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</si>
  <si>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</si>
  <si>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</si>
  <si>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</si>
  <si>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</si>
  <si>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</si>
  <si>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</si>
  <si>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</si>
  <si>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</si>
  <si>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</si>
  <si>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</si>
  <si>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</si>
  <si>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</si>
  <si>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</si>
  <si>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</si>
  <si>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</si>
  <si>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</si>
  <si>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</si>
  <si>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</si>
  <si>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</si>
  <si>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</si>
  <si>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</si>
  <si>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</si>
  <si>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</si>
  <si>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</si>
  <si>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</si>
  <si>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</si>
  <si>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</si>
  <si>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</si>
  <si>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</si>
  <si>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</si>
  <si>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</si>
  <si>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</si>
  <si>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</si>
  <si>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</si>
  <si>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</si>
  <si>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</si>
  <si>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</si>
  <si>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</si>
  <si>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</si>
  <si>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</si>
  <si>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</si>
  <si>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</si>
  <si>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</si>
  <si>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</si>
  <si>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</si>
  <si>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</si>
  <si>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</si>
  <si>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</si>
  <si>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</si>
  <si>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</si>
  <si>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</si>
  <si>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</si>
  <si>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</si>
  <si>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</si>
  <si>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</si>
  <si>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</si>
  <si>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</si>
  <si>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</si>
  <si>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</si>
  <si>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</si>
  <si>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</si>
  <si>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</si>
  <si>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</si>
  <si>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</si>
  <si>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</si>
  <si>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</si>
  <si>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</si>
  <si>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</si>
  <si>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</si>
  <si>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</si>
  <si>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</si>
  <si>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</si>
  <si>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</si>
  <si>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</si>
  <si>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</si>
  <si>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</si>
  <si>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</si>
  <si>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</si>
  <si>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</si>
  <si>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</si>
  <si>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</si>
  <si>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</si>
  <si>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</si>
  <si>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</si>
  <si>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</si>
  <si>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</si>
  <si>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</si>
  <si>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</si>
  <si>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</si>
  <si>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</si>
  <si>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</si>
  <si>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</si>
  <si>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</si>
  <si>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</si>
  <si>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</si>
  <si>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</si>
  <si>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</si>
  <si>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</si>
  <si>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</si>
  <si>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</si>
  <si>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</si>
  <si>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</si>
  <si>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</si>
  <si>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</si>
  <si>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</si>
  <si>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</si>
  <si>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</si>
  <si>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</si>
  <si>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</si>
  <si>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</si>
  <si>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</si>
  <si>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</si>
  <si>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</si>
  <si>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</si>
  <si>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</si>
  <si>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</si>
  <si>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</si>
  <si>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</si>
  <si>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</si>
  <si>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</si>
  <si>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</si>
  <si>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</si>
  <si>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</si>
  <si>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</si>
  <si>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</si>
  <si>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</si>
  <si>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</si>
  <si>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</si>
  <si>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</si>
  <si>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</si>
  <si>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</si>
  <si>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</si>
  <si>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</si>
  <si>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</si>
  <si>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</si>
  <si>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</si>
  <si>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</si>
  <si>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</si>
  <si>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</si>
  <si>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</si>
  <si>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</si>
  <si>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</si>
  <si>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</si>
  <si>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</si>
  <si>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</si>
  <si>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</si>
  <si>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</si>
  <si>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</si>
  <si>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</si>
  <si>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</si>
  <si>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</si>
  <si>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</si>
  <si>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</si>
  <si>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</si>
  <si>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</si>
  <si>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</si>
  <si>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</si>
  <si>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</si>
  <si>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</si>
  <si>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</si>
  <si>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</si>
  <si>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</si>
  <si>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</si>
  <si>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</si>
  <si>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</si>
  <si>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</si>
  <si>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</si>
  <si>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</si>
  <si>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</si>
  <si>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</si>
  <si>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</si>
  <si>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</si>
  <si>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</si>
  <si>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</si>
  <si>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</si>
  <si>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</si>
  <si>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</si>
  <si>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</si>
  <si>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</si>
  <si>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</si>
  <si>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</si>
  <si>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</si>
  <si>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</si>
  <si>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</si>
  <si>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</si>
  <si>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</si>
  <si>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</si>
  <si>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</si>
  <si>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</si>
  <si>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</si>
  <si>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</si>
  <si>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</si>
  <si>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</si>
  <si>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</si>
  <si>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</si>
  <si>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</si>
  <si>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</si>
  <si>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</si>
  <si>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</si>
  <si>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</si>
  <si>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</si>
  <si>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</si>
  <si>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</si>
  <si>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</si>
  <si>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</si>
  <si>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</si>
  <si>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</si>
  <si>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</si>
  <si>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</si>
  <si>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</si>
  <si>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</si>
  <si>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</si>
  <si>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</si>
  <si>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</si>
  <si>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</si>
  <si>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</si>
  <si>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</si>
  <si>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</si>
  <si>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</si>
  <si>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</si>
  <si>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</si>
  <si>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</si>
  <si>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</si>
  <si>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</si>
  <si>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</si>
  <si>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</si>
  <si>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</si>
  <si>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</si>
  <si>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</si>
  <si>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</si>
  <si>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</si>
  <si>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</si>
  <si>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</si>
  <si>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</si>
  <si>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</si>
  <si>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</si>
  <si>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</si>
  <si>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</si>
  <si>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</si>
  <si>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</si>
  <si>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</si>
  <si>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</si>
  <si>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</si>
  <si>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</si>
  <si>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</si>
  <si>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</si>
  <si>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</si>
  <si>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</si>
  <si>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</si>
  <si>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</si>
  <si>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</si>
  <si>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</si>
  <si>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</si>
  <si>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</si>
  <si>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</si>
  <si>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</si>
  <si>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</si>
  <si>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</si>
  <si>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</si>
  <si>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</si>
  <si>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</si>
  <si>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</si>
  <si>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</si>
  <si>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</si>
  <si>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</si>
  <si>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</si>
  <si>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</si>
  <si>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</si>
  <si>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</si>
  <si>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</si>
  <si>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</si>
  <si>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</si>
  <si>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</si>
  <si>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</si>
  <si>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</si>
  <si>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</si>
  <si>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</si>
  <si>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</si>
  <si>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</si>
  <si>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</si>
  <si>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</si>
  <si>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</si>
  <si>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</si>
  <si>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</si>
  <si>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</si>
  <si>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</si>
  <si>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</si>
  <si>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</si>
  <si>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</si>
  <si>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</si>
  <si>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</si>
  <si>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</si>
  <si>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</si>
  <si>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</si>
  <si>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</si>
  <si>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</si>
  <si>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</si>
  <si>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</si>
  <si>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</si>
  <si>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</si>
  <si>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</si>
  <si>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</si>
  <si>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</si>
  <si>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</si>
  <si>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</si>
  <si>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</si>
  <si>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</si>
  <si>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</si>
  <si>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</si>
  <si>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</si>
  <si>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</si>
  <si>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</si>
  <si>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</si>
  <si>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</si>
  <si>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</si>
  <si>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</si>
  <si>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</si>
  <si>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</si>
  <si>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</si>
  <si>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</si>
  <si>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</si>
  <si>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</si>
  <si>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</si>
  <si>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</si>
  <si>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</si>
  <si>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</si>
  <si>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</si>
  <si>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</si>
  <si>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</si>
  <si>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</si>
  <si>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</si>
  <si>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</si>
  <si>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</si>
  <si>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</si>
  <si>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</si>
  <si>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</si>
  <si>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</si>
  <si>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</si>
  <si>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</si>
  <si>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</si>
  <si>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</si>
  <si>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</si>
  <si>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</si>
  <si>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</si>
  <si>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</si>
  <si>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</si>
  <si>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</si>
  <si>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</si>
  <si>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</si>
  <si>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</si>
  <si>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</si>
  <si>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</si>
  <si>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</si>
  <si>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</si>
  <si>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</si>
  <si>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</si>
  <si>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</si>
  <si>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</si>
  <si>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</si>
  <si>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</si>
  <si>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</si>
  <si>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</si>
  <si>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</si>
  <si>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</si>
  <si>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</si>
  <si>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</si>
  <si>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</si>
  <si>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</si>
  <si>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</si>
  <si>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</si>
  <si>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</si>
  <si>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</si>
  <si>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</si>
  <si>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</si>
  <si>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</si>
  <si>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</si>
  <si>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</si>
  <si>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</si>
  <si>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</si>
  <si>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</si>
  <si>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</si>
  <si>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</si>
  <si>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</si>
  <si>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</si>
  <si>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</si>
  <si>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</si>
  <si>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</si>
  <si>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</si>
  <si>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</si>
  <si>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</si>
  <si>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</si>
  <si>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</si>
  <si>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</si>
  <si>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</si>
  <si>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</si>
  <si>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</si>
  <si>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</si>
  <si>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</si>
  <si>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</si>
  <si>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</si>
  <si>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</si>
  <si>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</si>
  <si>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</si>
  <si>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</si>
  <si>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</si>
  <si>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</si>
  <si>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</si>
  <si>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</si>
  <si>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</si>
  <si>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</si>
  <si>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</si>
  <si>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</si>
  <si>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</si>
  <si>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</si>
  <si>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</si>
  <si>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</si>
  <si>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</si>
  <si>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</si>
  <si>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</si>
  <si>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</si>
  <si>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</si>
  <si>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</si>
  <si>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</si>
  <si>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</si>
  <si>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</si>
  <si>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</si>
  <si>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</si>
  <si>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</si>
  <si>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</si>
  <si>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</si>
  <si>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</si>
  <si>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</si>
  <si>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</si>
  <si>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</si>
  <si>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</si>
  <si>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</si>
  <si>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</si>
  <si>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</si>
  <si>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</si>
  <si>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</si>
  <si>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</si>
  <si>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</si>
  <si>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</si>
  <si>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</si>
  <si>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</si>
  <si>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</si>
  <si>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</si>
  <si>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</si>
  <si>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</si>
  <si>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</si>
  <si>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</si>
  <si>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</si>
  <si>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</si>
  <si>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</si>
  <si>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</si>
  <si>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</si>
  <si>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</si>
  <si>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</si>
  <si>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</si>
  <si>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</si>
  <si>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</si>
  <si>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</si>
  <si>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</si>
  <si>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</si>
  <si>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</si>
  <si>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</si>
  <si>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</si>
  <si>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</si>
  <si>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</si>
  <si>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</si>
  <si>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</si>
  <si>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</si>
  <si>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</si>
  <si>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</si>
  <si>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</si>
  <si>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</si>
  <si>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</si>
  <si>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</si>
  <si>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</si>
  <si>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</si>
  <si>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</si>
  <si>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</si>
  <si>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</si>
  <si>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</si>
  <si>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</si>
  <si>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</si>
  <si>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</si>
  <si>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</si>
  <si>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</si>
  <si>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</si>
  <si>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</si>
  <si>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</si>
  <si>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</si>
  <si>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</si>
  <si>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</si>
  <si>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</si>
  <si>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</si>
  <si>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</si>
  <si>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</si>
  <si>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</si>
  <si>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</si>
  <si>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</si>
  <si>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</si>
  <si>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</si>
  <si>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</si>
  <si>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</si>
  <si>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</si>
  <si>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</si>
  <si>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</si>
  <si>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</si>
  <si>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</si>
  <si>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</si>
  <si>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</si>
  <si>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</si>
  <si>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</si>
  <si>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</si>
  <si>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</si>
  <si>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</si>
  <si>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</si>
  <si>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</si>
  <si>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</si>
  <si>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</si>
  <si>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</si>
  <si>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</si>
  <si>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</si>
  <si>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</si>
  <si>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</si>
  <si>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</si>
  <si>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</si>
  <si>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</si>
  <si>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</si>
  <si>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</si>
  <si>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</si>
  <si>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</si>
  <si>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</si>
  <si>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</si>
  <si>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</si>
  <si>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</si>
  <si>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</si>
  <si>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</si>
  <si>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</si>
  <si>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</si>
  <si>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</si>
  <si>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</si>
  <si>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</si>
  <si>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</si>
  <si>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</si>
  <si>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</si>
  <si>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</si>
  <si>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</si>
  <si>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</si>
  <si>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</si>
  <si>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</si>
  <si>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</si>
  <si>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</si>
  <si>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</si>
  <si>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</si>
  <si>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</si>
  <si>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</si>
  <si>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</si>
  <si>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</si>
  <si>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</si>
  <si>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</si>
  <si>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</si>
  <si>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</si>
  <si>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</si>
  <si>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</si>
  <si>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</si>
  <si>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</si>
  <si>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</si>
  <si>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</si>
  <si>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</si>
  <si>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</si>
  <si>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</si>
  <si>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</si>
  <si>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</si>
  <si>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</si>
  <si>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</si>
  <si>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</si>
  <si>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</si>
  <si>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</si>
  <si>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</si>
  <si>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</si>
  <si>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</si>
  <si>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</si>
  <si>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</si>
  <si>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</si>
  <si>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</si>
  <si>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</si>
  <si>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</si>
  <si>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</si>
  <si>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</si>
  <si>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</si>
  <si>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</si>
  <si>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</si>
  <si>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</si>
  <si>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</si>
  <si>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</si>
  <si>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</si>
  <si>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</si>
  <si>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</si>
  <si>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</si>
  <si>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</si>
  <si>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</si>
  <si>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</si>
  <si>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</si>
  <si>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</si>
  <si>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</si>
  <si>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</si>
  <si>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</si>
  <si>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</si>
  <si>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</si>
  <si>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</si>
  <si>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</si>
  <si>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</si>
  <si>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</si>
  <si>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</si>
  <si>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</si>
  <si>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</si>
  <si>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</si>
  <si>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</si>
  <si>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</si>
  <si>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</si>
  <si>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</si>
  <si>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</si>
  <si>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</si>
  <si>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</si>
  <si>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</si>
  <si>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</si>
  <si>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</si>
  <si>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</si>
  <si>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</si>
  <si>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</si>
  <si>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</si>
  <si>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</si>
  <si>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</si>
  <si>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</si>
  <si>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</si>
  <si>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</si>
  <si>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</si>
  <si>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</si>
  <si>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</si>
  <si>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</si>
  <si>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</si>
  <si>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</si>
  <si>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</si>
  <si>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</si>
  <si>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</si>
  <si>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</si>
  <si>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</si>
  <si>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</si>
  <si>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</si>
  <si>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</si>
  <si>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</si>
  <si>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</si>
  <si>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</si>
  <si>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</si>
  <si>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</si>
  <si>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</si>
  <si>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</si>
  <si>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</si>
  <si>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</si>
  <si>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</si>
  <si>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</si>
  <si>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</si>
  <si>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</si>
  <si>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</si>
  <si>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</si>
  <si>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</si>
  <si>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</si>
  <si>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</si>
  <si>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</si>
  <si>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</si>
  <si>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</si>
  <si>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</si>
  <si>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</si>
  <si>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</si>
  <si>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</si>
  <si>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</si>
  <si>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</si>
  <si>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</si>
  <si>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</si>
  <si>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</si>
  <si>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</si>
  <si>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</si>
  <si>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</si>
  <si>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</si>
  <si>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</si>
  <si>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</si>
  <si>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</si>
  <si>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</si>
  <si>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</si>
  <si>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</si>
  <si>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</si>
  <si>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</si>
  <si>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</si>
  <si>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</si>
  <si>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</si>
  <si>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</si>
  <si>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</si>
  <si>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</si>
  <si>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</si>
  <si>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</si>
  <si>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</si>
  <si>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</si>
  <si>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</si>
  <si>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</si>
  <si>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</si>
  <si>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</si>
  <si>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</si>
  <si>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</si>
  <si>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</si>
  <si>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</si>
  <si>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</si>
  <si>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</si>
  <si>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</si>
  <si>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</si>
  <si>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</si>
  <si>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</si>
  <si>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</si>
  <si>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</si>
  <si>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</si>
  <si>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</si>
  <si>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</si>
  <si>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</si>
  <si>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</si>
  <si>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</si>
  <si>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</si>
  <si>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</si>
  <si>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</si>
  <si>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</si>
  <si>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</si>
  <si>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</si>
  <si>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</si>
  <si>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</si>
  <si>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</si>
  <si>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</si>
  <si>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</si>
  <si>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</si>
  <si>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</si>
  <si>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</si>
  <si>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</si>
  <si>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</si>
  <si>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</si>
  <si>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</si>
  <si>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</si>
  <si>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</si>
  <si>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</si>
  <si>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</si>
  <si>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</si>
  <si>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</si>
  <si>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</si>
  <si>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</si>
  <si>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</si>
  <si>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</si>
  <si>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</si>
  <si>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</si>
  <si>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</si>
  <si>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</si>
  <si>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</si>
  <si>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</si>
  <si>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</si>
  <si>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</si>
  <si>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</si>
  <si>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</si>
  <si>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</si>
  <si>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</si>
  <si>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</si>
  <si>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</si>
  <si>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</si>
  <si>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</si>
  <si>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</si>
  <si>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</si>
  <si>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</si>
  <si>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</si>
  <si>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</si>
  <si>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</si>
  <si>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</si>
  <si>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</si>
  <si>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</si>
  <si>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</si>
  <si>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</si>
  <si>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</si>
  <si>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</si>
  <si>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</si>
  <si>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</si>
  <si>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</si>
  <si>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</si>
  <si>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</si>
  <si>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</si>
  <si>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</si>
  <si>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</si>
  <si>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</si>
  <si>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</si>
  <si>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</si>
  <si>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</si>
  <si>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</si>
  <si>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</si>
  <si>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</si>
  <si>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</si>
  <si>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</si>
  <si>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</si>
  <si>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</si>
  <si>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</si>
  <si>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</si>
  <si>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</si>
  <si>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</si>
  <si>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</si>
  <si>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</si>
  <si>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</si>
  <si>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</si>
  <si>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</si>
  <si>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</si>
  <si>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</si>
  <si>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</si>
  <si>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</si>
  <si>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</si>
  <si>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</si>
  <si>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</si>
  <si>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</si>
  <si>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</si>
  <si>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</si>
  <si>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</si>
  <si>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</si>
  <si>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</si>
  <si>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</si>
  <si>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</si>
  <si>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</si>
  <si>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</si>
  <si>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</si>
  <si>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</si>
  <si>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</si>
  <si>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</si>
  <si>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</si>
  <si>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</si>
  <si>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</si>
  <si>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</si>
  <si>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</si>
  <si>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</si>
  <si>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</si>
  <si>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</si>
  <si>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</si>
  <si>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</si>
  <si>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</si>
  <si>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</si>
  <si>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</si>
  <si>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</si>
  <si>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</si>
  <si>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</si>
  <si>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</si>
  <si>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</si>
  <si>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</si>
  <si>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</si>
  <si>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</si>
  <si>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</si>
  <si>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</si>
  <si>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</si>
  <si>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</si>
  <si>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</si>
  <si>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</si>
  <si>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</si>
  <si>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</si>
  <si>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</si>
  <si>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</si>
  <si>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</si>
  <si>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</si>
  <si>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</si>
  <si>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</si>
  <si>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</si>
  <si>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</si>
  <si>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</si>
  <si>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</si>
  <si>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</si>
  <si>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</si>
  <si>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</si>
  <si>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</si>
  <si>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</si>
  <si>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</si>
  <si>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</si>
  <si>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</si>
  <si>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</si>
  <si>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</si>
  <si>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</si>
  <si>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</si>
  <si>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</si>
  <si>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</si>
  <si>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</si>
  <si>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</si>
  <si>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</si>
  <si>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</si>
  <si>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</si>
  <si>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</si>
  <si>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</si>
  <si>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</si>
  <si>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</si>
  <si>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</si>
  <si>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</si>
  <si>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</si>
  <si>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</si>
  <si>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</si>
  <si>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</si>
  <si>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</si>
  <si>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</si>
  <si>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</si>
  <si>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</si>
  <si>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</si>
  <si>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</si>
  <si>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</si>
  <si>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</si>
  <si>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</si>
  <si>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</si>
  <si>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</si>
  <si>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</si>
  <si>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</si>
  <si>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</si>
  <si>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</si>
  <si>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</si>
  <si>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</si>
  <si>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</si>
  <si>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</si>
  <si>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</si>
  <si>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</si>
  <si>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</si>
  <si>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</si>
  <si>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</si>
  <si>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</si>
  <si>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</si>
  <si>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</si>
  <si>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</si>
  <si>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</si>
  <si>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</si>
  <si>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</si>
  <si>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</si>
  <si>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</si>
  <si>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</si>
  <si>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</si>
  <si>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</si>
  <si>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</si>
  <si>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</si>
  <si>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</si>
  <si>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</si>
  <si>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</si>
  <si>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</si>
  <si>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</si>
  <si>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</si>
  <si>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</si>
  <si>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</si>
  <si>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</si>
  <si>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</si>
  <si>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</si>
  <si>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</si>
  <si>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</si>
  <si>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</si>
  <si>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</si>
  <si>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</si>
  <si>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</si>
  <si>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</si>
  <si>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</si>
  <si>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</si>
  <si>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</si>
  <si>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</si>
  <si>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</si>
  <si>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</si>
  <si>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</si>
  <si>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</si>
  <si>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</si>
  <si>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</si>
  <si>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</si>
  <si>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</si>
  <si>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</si>
  <si>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</si>
  <si>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</si>
  <si>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</si>
  <si>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</si>
  <si>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</si>
  <si>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</si>
  <si>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</si>
  <si>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</si>
  <si>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</si>
  <si>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</si>
  <si>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</si>
  <si>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</si>
  <si>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</si>
  <si>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</si>
  <si>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</si>
  <si>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</si>
  <si>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</si>
  <si>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</si>
  <si>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</si>
  <si>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</si>
  <si>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</si>
  <si>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</si>
  <si>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</si>
  <si>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</si>
  <si>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</si>
  <si>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</si>
  <si>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</si>
  <si>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</si>
  <si>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</si>
  <si>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</si>
  <si>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</si>
  <si>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</si>
  <si>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</si>
  <si>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</si>
  <si>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</si>
  <si>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</si>
  <si>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</si>
  <si>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</si>
  <si>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</si>
  <si>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</si>
  <si>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</si>
  <si>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</si>
  <si>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</si>
  <si>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</si>
  <si>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</si>
  <si>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</si>
  <si>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</si>
  <si>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</si>
  <si>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</si>
  <si>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</si>
  <si>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</si>
  <si>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</si>
  <si>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</si>
  <si>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</si>
  <si>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</si>
  <si>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</si>
  <si>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</si>
  <si>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</si>
  <si>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</si>
  <si>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</si>
  <si>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</si>
  <si>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</si>
  <si>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</si>
  <si>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</si>
  <si>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</si>
  <si>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</si>
  <si>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</si>
  <si>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</si>
  <si>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</si>
  <si>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</si>
  <si>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</si>
  <si>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</si>
  <si>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</si>
  <si>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</si>
  <si>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</si>
  <si>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</si>
  <si>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</si>
  <si>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</si>
  <si>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</si>
  <si>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</si>
  <si>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</si>
  <si>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</si>
  <si>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</si>
  <si>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</si>
  <si>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</si>
  <si>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</si>
  <si>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</si>
  <si>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</si>
  <si>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</si>
  <si>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</si>
  <si>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</si>
  <si>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</si>
  <si>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</si>
  <si>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</si>
  <si>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</si>
  <si>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</si>
  <si>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</si>
  <si>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</si>
  <si>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</si>
  <si>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</si>
  <si>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</si>
  <si>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</si>
  <si>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</si>
  <si>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</si>
  <si>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</si>
  <si>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</si>
  <si>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</si>
  <si>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</si>
  <si>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</si>
  <si>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</si>
  <si>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</si>
  <si>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</si>
  <si>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</si>
  <si>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</si>
  <si>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</si>
  <si>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</si>
  <si>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</si>
  <si>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</si>
  <si>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</si>
  <si>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</si>
  <si>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</si>
  <si>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</si>
  <si>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</si>
  <si>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</si>
  <si>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</si>
  <si>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</si>
  <si>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</si>
  <si>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</si>
  <si>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</si>
  <si>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</si>
  <si>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</si>
  <si>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</si>
  <si>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</si>
  <si>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</si>
  <si>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</si>
  <si>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</si>
  <si>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</si>
  <si>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</si>
  <si>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</si>
  <si>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</si>
  <si>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</si>
  <si>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</si>
  <si>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</si>
  <si>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</si>
  <si>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</si>
  <si>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</si>
  <si>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</si>
  <si>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</si>
  <si>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</si>
  <si>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</si>
  <si>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</si>
  <si>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</si>
  <si>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</si>
  <si>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</si>
  <si>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</si>
  <si>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</si>
  <si>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</si>
  <si>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</si>
  <si>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</si>
  <si>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</si>
  <si>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</si>
  <si>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</si>
  <si>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</si>
  <si>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</si>
  <si>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</si>
  <si>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</si>
  <si>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</si>
  <si>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</si>
  <si>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</si>
  <si>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</si>
  <si>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</si>
  <si>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</si>
  <si>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</si>
  <si>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</si>
  <si>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</si>
  <si>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</si>
  <si>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</si>
  <si>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</si>
  <si>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</si>
  <si>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</si>
  <si>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</si>
  <si>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</si>
  <si>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</si>
  <si>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</si>
  <si>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</si>
  <si>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</si>
  <si>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</si>
  <si>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</si>
  <si>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</si>
  <si>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</si>
  <si>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</si>
  <si>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</si>
  <si>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</si>
  <si>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</si>
  <si>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</si>
  <si>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</si>
  <si>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</si>
  <si>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</si>
  <si>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</si>
  <si>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</si>
  <si>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</si>
  <si>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</si>
  <si>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</si>
  <si>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</si>
  <si>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</si>
  <si>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</si>
  <si>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</si>
  <si>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</si>
  <si>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</si>
  <si>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</si>
  <si>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</si>
  <si>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</si>
  <si>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</si>
  <si>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</si>
  <si>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</si>
  <si>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</si>
  <si>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</si>
  <si>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</si>
  <si>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</si>
  <si>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</si>
  <si>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</si>
  <si>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</si>
  <si>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</si>
  <si>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</si>
  <si>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</si>
  <si>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</si>
  <si>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</si>
  <si>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</si>
  <si>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</si>
  <si>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</si>
  <si>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</si>
  <si>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</si>
  <si>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</si>
  <si>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</si>
  <si>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</si>
  <si>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</si>
  <si>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</si>
  <si>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</si>
  <si>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</si>
  <si>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</si>
  <si>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</si>
  <si>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</si>
  <si>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</si>
  <si>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</si>
  <si>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</si>
  <si>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</si>
  <si>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</si>
  <si>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</si>
  <si>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</si>
  <si>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</si>
  <si>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</si>
  <si>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</si>
  <si>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</si>
  <si>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</si>
  <si>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</si>
  <si>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</si>
  <si>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</si>
  <si>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</si>
  <si>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</si>
  <si>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</si>
  <si>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</si>
  <si>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</si>
  <si>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</si>
  <si>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</si>
  <si>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</si>
  <si>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</si>
  <si>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</si>
  <si>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</si>
  <si>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</si>
  <si>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</si>
  <si>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</si>
  <si>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</si>
  <si>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</si>
  <si>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</si>
  <si>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</si>
  <si>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</si>
  <si>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</si>
  <si>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</si>
  <si>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</si>
  <si>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</si>
  <si>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</si>
  <si>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</si>
  <si>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</si>
  <si>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</si>
  <si>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</si>
  <si>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</si>
  <si>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</si>
  <si>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</si>
  <si>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</si>
  <si>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</si>
  <si>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</si>
  <si>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</si>
  <si>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</si>
  <si>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</si>
  <si>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</si>
  <si>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</si>
  <si>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</si>
  <si>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</si>
  <si>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</si>
  <si>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</si>
  <si>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</si>
  <si>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</si>
  <si>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</si>
  <si>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</si>
  <si>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</si>
  <si>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</si>
  <si>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</si>
  <si>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</si>
  <si>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</si>
  <si>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</si>
  <si>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</si>
  <si>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</si>
  <si>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</si>
  <si>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</si>
  <si>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</si>
  <si>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</si>
  <si>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</si>
  <si>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</si>
  <si>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</si>
  <si>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</si>
  <si>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</si>
  <si>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</si>
  <si>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</si>
  <si>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</si>
  <si>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</si>
  <si>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</si>
  <si>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</si>
  <si>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</si>
  <si>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</si>
  <si>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</si>
  <si>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</si>
  <si>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</si>
  <si>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</si>
  <si>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</si>
  <si>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</si>
  <si>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</si>
  <si>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</si>
  <si>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</si>
  <si>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</si>
  <si>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</si>
  <si>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</si>
  <si>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</si>
  <si>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</si>
  <si>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</si>
  <si>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</si>
  <si>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</si>
  <si>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</si>
  <si>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</si>
  <si>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</si>
  <si>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</si>
  <si>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</si>
  <si>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</si>
  <si>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</si>
  <si>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</si>
  <si>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</si>
  <si>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</si>
  <si>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</si>
  <si>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</si>
  <si>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</si>
  <si>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</si>
  <si>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</si>
  <si>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</si>
  <si>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</si>
  <si>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</si>
  <si>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</si>
  <si>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</si>
  <si>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</si>
  <si>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</si>
  <si>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</si>
  <si>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</si>
  <si>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</si>
  <si>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</si>
  <si>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</si>
  <si>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</si>
  <si>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</si>
  <si>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</si>
  <si>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</si>
  <si>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</si>
  <si>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</si>
  <si>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</si>
  <si>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</si>
  <si>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</si>
  <si>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</si>
  <si>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</si>
  <si>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</si>
  <si>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</si>
  <si>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</si>
  <si>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</si>
  <si>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</si>
  <si>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</si>
  <si>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</si>
  <si>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</si>
  <si>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</si>
  <si>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</si>
  <si>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</si>
  <si>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</si>
  <si>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</si>
  <si>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</si>
  <si>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</si>
  <si>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</si>
  <si>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</si>
  <si>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</si>
  <si>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</si>
  <si>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</si>
  <si>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</si>
  <si>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</si>
  <si>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</si>
  <si>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</si>
  <si>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</si>
  <si>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</si>
  <si>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</si>
  <si>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</si>
  <si>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</si>
  <si>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</si>
  <si>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</si>
  <si>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</si>
  <si>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</si>
  <si>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</si>
  <si>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</si>
  <si>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</si>
  <si>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</si>
  <si>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</si>
  <si>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</si>
  <si>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</si>
  <si>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</si>
  <si>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</si>
  <si>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</si>
  <si>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</si>
  <si>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</si>
  <si>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</si>
  <si>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</si>
  <si>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</si>
  <si>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</si>
  <si>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</si>
  <si>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</si>
  <si>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</si>
  <si>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</si>
  <si>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</si>
  <si>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</si>
  <si>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</si>
  <si>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</si>
  <si>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</si>
  <si>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</si>
  <si>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</si>
  <si>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</si>
  <si>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</si>
  <si>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</si>
  <si>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</si>
  <si>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</si>
  <si>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</si>
  <si>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</si>
  <si>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</si>
  <si>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</si>
  <si>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</si>
  <si>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</si>
  <si>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</si>
  <si>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</si>
  <si>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</si>
  <si>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</si>
  <si>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</si>
  <si>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</si>
  <si>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</si>
  <si>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</si>
  <si>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</si>
  <si>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</si>
  <si>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</si>
  <si>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</si>
  <si>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</si>
  <si>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</si>
  <si>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</si>
  <si>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</si>
  <si>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</si>
  <si>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</si>
  <si>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</si>
  <si>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</si>
  <si>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</si>
  <si>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</si>
  <si>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</si>
  <si>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</si>
  <si>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</si>
  <si>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</si>
  <si>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</si>
  <si>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</si>
  <si>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</si>
  <si>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</si>
  <si>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</si>
  <si>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</si>
  <si>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</si>
  <si>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</si>
  <si>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</si>
  <si>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</si>
  <si>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</si>
  <si>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</si>
  <si>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</si>
  <si>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</si>
  <si>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</si>
  <si>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</si>
  <si>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</si>
  <si>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</si>
  <si>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</si>
  <si>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</si>
  <si>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</si>
  <si>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</si>
  <si>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</si>
  <si>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</si>
  <si>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</si>
  <si>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</si>
  <si>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</si>
  <si>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</si>
  <si>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</si>
  <si>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</si>
  <si>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</si>
  <si>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</si>
  <si>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</si>
  <si>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</si>
  <si>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</si>
  <si>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</si>
  <si>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</si>
  <si>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</si>
  <si>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</si>
  <si>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</si>
  <si>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</si>
  <si>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</si>
  <si>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</si>
  <si>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</si>
  <si>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</si>
  <si>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</si>
  <si>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</si>
  <si>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</si>
  <si>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</si>
  <si>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</si>
  <si>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</si>
  <si>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</si>
  <si>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</si>
  <si>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</si>
  <si>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</si>
  <si>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</si>
  <si>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</si>
  <si>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</si>
  <si>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</si>
  <si>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</si>
  <si>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</si>
  <si>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</si>
  <si>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</si>
  <si>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</si>
  <si>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</si>
  <si>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</si>
  <si>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</si>
  <si>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</si>
  <si>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</si>
  <si>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</si>
  <si>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</si>
  <si>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</si>
  <si>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</si>
  <si>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</si>
  <si>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</si>
  <si>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</si>
  <si>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</si>
  <si>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</si>
  <si>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</si>
  <si>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</si>
  <si>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</si>
  <si>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</si>
  <si>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</si>
  <si>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</si>
  <si>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</si>
  <si>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</si>
  <si>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</si>
  <si>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</si>
  <si>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</si>
  <si>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</si>
  <si>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</si>
  <si>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</si>
  <si>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</si>
  <si>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</si>
  <si>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</si>
  <si>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</si>
  <si>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</si>
  <si>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</si>
  <si>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</si>
  <si>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</si>
  <si>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</si>
  <si>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</si>
  <si>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</si>
  <si>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</si>
  <si>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</si>
  <si>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</si>
  <si>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</si>
  <si>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</si>
  <si>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</si>
  <si>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</si>
  <si>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</si>
  <si>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</si>
  <si>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</si>
  <si>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</si>
  <si>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</si>
  <si>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</si>
  <si>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</si>
  <si>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</si>
  <si>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</si>
  <si>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</si>
  <si>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</si>
  <si>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</si>
  <si>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</si>
  <si>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</si>
  <si>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</si>
  <si>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</si>
  <si>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</si>
  <si>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</si>
  <si>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</si>
  <si>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</si>
  <si>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</si>
  <si>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</si>
  <si>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</si>
  <si>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</si>
  <si>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</si>
  <si>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</si>
  <si>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</si>
  <si>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</si>
  <si>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</si>
  <si>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</si>
  <si>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</si>
  <si>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</si>
  <si>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</si>
  <si>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</si>
  <si>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</si>
  <si>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</si>
  <si>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</si>
  <si>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</si>
  <si>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</si>
  <si>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</si>
  <si>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</si>
  <si>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</si>
  <si>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</si>
  <si>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</si>
  <si>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</si>
  <si>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</si>
  <si>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</si>
  <si>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</si>
  <si>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</si>
  <si>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</si>
  <si>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</si>
  <si>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</si>
  <si>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</si>
  <si>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</si>
  <si>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</si>
  <si>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</si>
  <si>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</si>
  <si>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</si>
  <si>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</si>
  <si>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</si>
  <si>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</si>
  <si>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</si>
  <si>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</si>
  <si>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</si>
  <si>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</si>
  <si>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</si>
  <si>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</si>
  <si>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</si>
  <si>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</si>
  <si>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</si>
  <si>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</si>
  <si>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</si>
  <si>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</si>
  <si>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</si>
  <si>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</si>
  <si>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</si>
  <si>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</si>
  <si>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</si>
  <si>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</si>
  <si>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</si>
  <si>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</si>
  <si>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</si>
  <si>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</si>
  <si>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</si>
  <si>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</si>
  <si>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</si>
  <si>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</si>
  <si>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</si>
  <si>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</si>
  <si>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</si>
  <si>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</si>
  <si>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</si>
  <si>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</si>
  <si>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</si>
  <si>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</si>
  <si>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</si>
  <si>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</si>
  <si>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</si>
  <si>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</si>
  <si>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</si>
  <si>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</si>
  <si>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</si>
  <si>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</si>
  <si>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</si>
  <si>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</si>
  <si>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</si>
  <si>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</si>
  <si>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</si>
  <si>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</si>
  <si>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</si>
  <si>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</si>
  <si>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</si>
  <si>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</si>
  <si>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</si>
  <si>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</si>
  <si>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</si>
  <si>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</si>
  <si>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</si>
  <si>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</si>
  <si>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</si>
  <si>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</si>
  <si>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</si>
  <si>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</si>
  <si>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</si>
  <si>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</si>
  <si>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</si>
  <si>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</si>
  <si>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</si>
  <si>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</si>
  <si>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</si>
  <si>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</si>
  <si>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</si>
  <si>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</si>
  <si>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</si>
  <si>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</si>
  <si>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</si>
  <si>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</si>
  <si>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</si>
  <si>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</si>
  <si>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</si>
  <si>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</si>
  <si>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</si>
  <si>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</si>
  <si>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</si>
  <si>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</si>
  <si>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</si>
  <si>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</si>
  <si>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</si>
  <si>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</si>
  <si>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</si>
  <si>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</si>
  <si>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</si>
  <si>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</si>
  <si>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</si>
  <si>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</si>
  <si>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</si>
  <si>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</si>
  <si>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</si>
  <si>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</si>
  <si>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</si>
  <si>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</si>
  <si>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</si>
  <si>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</si>
  <si>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</si>
  <si>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</si>
  <si>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</si>
  <si>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</si>
  <si>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</si>
  <si>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</si>
  <si>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</si>
  <si>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</si>
  <si>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</si>
  <si>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</si>
  <si>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</si>
  <si>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</si>
  <si>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</si>
  <si>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</si>
  <si>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</si>
  <si>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</si>
  <si>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</si>
  <si>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</si>
  <si>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</si>
  <si>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</si>
  <si>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</si>
  <si>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</si>
  <si>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</si>
  <si>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</si>
  <si>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</si>
  <si>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</si>
  <si>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</si>
  <si>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</si>
  <si>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</si>
  <si>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</si>
  <si>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</si>
  <si>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</si>
  <si>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</si>
  <si>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</si>
  <si>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</si>
  <si>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</si>
  <si>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</si>
  <si>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</si>
  <si>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</si>
  <si>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</si>
  <si>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</si>
  <si>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</si>
  <si>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</si>
  <si>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</si>
  <si>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</si>
  <si>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</si>
  <si>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</si>
  <si>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</si>
  <si>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</si>
  <si>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</si>
  <si>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</si>
  <si>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</si>
  <si>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</si>
  <si>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</si>
  <si>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</si>
  <si>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</si>
  <si>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</si>
  <si>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</si>
  <si>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</si>
  <si>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</si>
  <si>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</si>
  <si>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</si>
  <si>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</si>
  <si>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</si>
  <si>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</si>
  <si>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</si>
  <si>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</si>
  <si>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</si>
  <si>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</si>
  <si>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</si>
  <si>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</si>
  <si>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</si>
  <si>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</si>
  <si>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</si>
  <si>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</si>
  <si>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</si>
  <si>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</si>
  <si>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</si>
  <si>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</si>
  <si>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</si>
  <si>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</si>
  <si>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</si>
  <si>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</si>
  <si>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</si>
  <si>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</si>
  <si>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</si>
  <si>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</si>
  <si>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</si>
  <si>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</si>
  <si>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</si>
  <si>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</si>
  <si>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</si>
  <si>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</si>
  <si>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</si>
  <si>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</si>
  <si>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</si>
  <si>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</si>
  <si>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</si>
  <si>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</si>
  <si>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</si>
  <si>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</si>
  <si>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</si>
  <si>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</si>
  <si>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</si>
  <si>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</si>
  <si>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</si>
  <si>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</si>
  <si>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</si>
  <si>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</si>
  <si>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</si>
  <si>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</si>
  <si>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</si>
  <si>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</si>
  <si>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</si>
  <si>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</si>
  <si>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</si>
  <si>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</si>
  <si>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</si>
  <si>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</si>
  <si>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</si>
  <si>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</si>
  <si>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</si>
  <si>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</si>
  <si>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</si>
  <si>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</si>
  <si>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</si>
  <si>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</si>
  <si>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</si>
  <si>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</si>
  <si>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</si>
  <si>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</si>
  <si>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</si>
  <si>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</si>
  <si>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</si>
  <si>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</si>
  <si>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</si>
  <si>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</si>
  <si>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</si>
  <si>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</si>
  <si>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</si>
  <si>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</si>
  <si>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</si>
  <si>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</si>
  <si>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</si>
  <si>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</si>
  <si>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</si>
  <si>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</si>
  <si>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</si>
  <si>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</si>
  <si>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</si>
  <si>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</si>
  <si>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</si>
  <si>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</si>
  <si>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</si>
  <si>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</si>
  <si>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</si>
  <si>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</si>
  <si>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</si>
  <si>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</si>
  <si>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</si>
  <si>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</si>
  <si>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</si>
  <si>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</si>
  <si>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</si>
  <si>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</si>
  <si>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</si>
  <si>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</si>
  <si>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</si>
  <si>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</si>
  <si>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</si>
  <si>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</si>
  <si>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</si>
  <si>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</si>
  <si>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</si>
  <si>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</si>
  <si>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</si>
  <si>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</si>
  <si>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</si>
  <si>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</si>
  <si>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</si>
  <si>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</si>
  <si>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</si>
  <si>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</si>
  <si>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</si>
  <si>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</si>
  <si>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</si>
  <si>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</si>
  <si>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</si>
  <si>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</si>
  <si>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</si>
  <si>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</si>
  <si>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</si>
  <si>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</si>
  <si>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</si>
  <si>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</si>
  <si>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</si>
  <si>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</si>
  <si>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</si>
  <si>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</si>
  <si>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</si>
  <si>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</si>
  <si>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</si>
  <si>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</si>
  <si>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</si>
  <si>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</si>
  <si>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</si>
  <si>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</si>
  <si>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</si>
  <si>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</si>
  <si>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</si>
  <si>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</si>
  <si>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</si>
  <si>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</si>
  <si>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</si>
  <si>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</si>
  <si>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</si>
  <si>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</si>
  <si>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</si>
  <si>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</si>
  <si>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</si>
  <si>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</si>
  <si>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</si>
  <si>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</si>
  <si>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</si>
  <si>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</si>
  <si>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</si>
  <si>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</si>
  <si>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</si>
  <si>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</si>
  <si>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</si>
  <si>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</si>
  <si>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</si>
  <si>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</si>
  <si>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</si>
  <si>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</si>
  <si>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</si>
  <si>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</si>
  <si>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</si>
  <si>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</si>
  <si>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</si>
  <si>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</si>
  <si>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</si>
  <si>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</si>
  <si>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</si>
  <si>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</si>
  <si>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</si>
  <si>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</si>
  <si>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</si>
  <si>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</si>
  <si>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</si>
  <si>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</si>
  <si>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</si>
  <si>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</si>
  <si>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</si>
  <si>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</si>
  <si>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</si>
  <si>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</si>
  <si>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</si>
  <si>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</si>
  <si>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</si>
  <si>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</si>
  <si>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</si>
  <si>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</si>
  <si>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</si>
  <si>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</si>
  <si>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</si>
  <si>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</si>
  <si>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</si>
  <si>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</si>
  <si>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</si>
  <si>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</si>
  <si>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</si>
  <si>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</si>
  <si>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</si>
  <si>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</si>
  <si>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</si>
  <si>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</si>
  <si>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</si>
  <si>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</si>
  <si>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</si>
  <si>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</si>
  <si>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</si>
  <si>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</si>
  <si>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</si>
  <si>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</si>
  <si>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</si>
  <si>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</si>
  <si>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</si>
  <si>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</si>
  <si>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</si>
  <si>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</si>
  <si>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</si>
  <si>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</si>
  <si>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</si>
  <si>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</si>
  <si>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</si>
  <si>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</si>
  <si>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</si>
  <si>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</si>
  <si>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</si>
  <si>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</si>
  <si>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</si>
  <si>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</si>
  <si>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</si>
  <si>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</si>
  <si>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</si>
  <si>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</si>
  <si>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</si>
  <si>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</si>
  <si>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</si>
  <si>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</si>
  <si>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</si>
  <si>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</si>
  <si>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</si>
  <si>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</si>
  <si>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</si>
  <si>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</si>
  <si>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</si>
  <si>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</si>
  <si>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</si>
  <si>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</si>
  <si>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</si>
  <si>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</si>
  <si>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</si>
  <si>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</si>
  <si>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</si>
  <si>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</si>
  <si>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</si>
  <si>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</si>
  <si>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</si>
  <si>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</si>
  <si>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</si>
  <si>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</si>
  <si>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</si>
  <si>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</si>
  <si>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</si>
  <si>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</si>
  <si>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</si>
  <si>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</si>
  <si>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</si>
  <si>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</si>
  <si>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</si>
  <si>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</si>
  <si>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</si>
  <si>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</si>
  <si>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</si>
  <si>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</si>
  <si>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</si>
  <si>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</si>
  <si>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</si>
  <si>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</si>
  <si>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</si>
  <si>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</si>
  <si>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</si>
  <si>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</si>
  <si>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</si>
  <si>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</si>
  <si>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</si>
  <si>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</si>
  <si>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</si>
  <si>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</si>
  <si>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</si>
  <si>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</si>
  <si>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</si>
  <si>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</si>
  <si>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</si>
  <si>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</si>
  <si>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</si>
  <si>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</si>
  <si>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</si>
  <si>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</si>
  <si>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</si>
  <si>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</si>
  <si>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</si>
  <si>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</si>
  <si>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</si>
  <si>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</si>
  <si>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</si>
  <si>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</si>
  <si>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</si>
  <si>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</si>
  <si>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</si>
  <si>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</si>
  <si>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</si>
  <si>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</si>
  <si>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</si>
  <si>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</si>
  <si>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</si>
  <si>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</si>
  <si>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</si>
  <si>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</si>
  <si>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</si>
  <si>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</si>
  <si>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</si>
  <si>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</si>
  <si>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</si>
  <si>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</si>
  <si>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</si>
  <si>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</si>
  <si>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</si>
  <si>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</si>
  <si>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</si>
  <si>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</si>
  <si>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</si>
  <si>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</si>
  <si>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</si>
  <si>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</si>
  <si>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</si>
  <si>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</si>
  <si>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</si>
  <si>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</si>
  <si>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</si>
  <si>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</si>
  <si>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</si>
  <si>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</si>
  <si>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</si>
  <si>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</si>
  <si>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</si>
  <si>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</si>
  <si>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</si>
  <si>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</si>
  <si>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</si>
  <si>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</si>
  <si>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</si>
  <si>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</si>
  <si>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</si>
  <si>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</si>
  <si>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</si>
  <si>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</si>
  <si>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</si>
  <si>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</si>
  <si>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</si>
  <si>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</si>
  <si>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</si>
  <si>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</si>
  <si>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</si>
  <si>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</si>
  <si>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</si>
  <si>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</si>
  <si>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</si>
  <si>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</si>
  <si>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</si>
  <si>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</si>
  <si>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</si>
  <si>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</si>
  <si>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</si>
  <si>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</si>
  <si>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</si>
  <si>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</si>
  <si>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</si>
  <si>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</si>
  <si>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</si>
  <si>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</si>
  <si>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</si>
  <si>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</si>
  <si>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</si>
  <si>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</si>
  <si>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</si>
  <si>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</si>
  <si>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</si>
  <si>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</si>
  <si>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</si>
  <si>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</si>
  <si>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</si>
  <si>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</si>
  <si>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</si>
  <si>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</si>
  <si>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</si>
  <si>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</si>
  <si>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</si>
  <si>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</si>
  <si>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</si>
  <si>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</si>
  <si>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</si>
  <si>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</si>
  <si>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</si>
  <si>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</si>
  <si>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</si>
  <si>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</si>
  <si>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</si>
  <si>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</si>
  <si>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</si>
  <si>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</si>
  <si>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</si>
  <si>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</si>
  <si>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</si>
  <si>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</si>
  <si>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</si>
  <si>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</si>
  <si>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</si>
  <si>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</si>
  <si>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</si>
  <si>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</si>
  <si>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</si>
  <si>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</si>
  <si>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</si>
  <si>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</si>
  <si>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</si>
  <si>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</si>
  <si>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</si>
  <si>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</si>
  <si>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</si>
  <si>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</si>
  <si>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</si>
  <si>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</si>
  <si>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</si>
  <si>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</si>
  <si>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</si>
  <si>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</si>
  <si>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</si>
  <si>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</si>
  <si>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</si>
  <si>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</si>
  <si>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</si>
  <si>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</si>
  <si>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</si>
  <si>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</si>
  <si>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</si>
  <si>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</si>
  <si>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</si>
  <si>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</si>
  <si>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</si>
  <si>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</si>
  <si>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</si>
  <si>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</si>
  <si>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</si>
  <si>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</si>
  <si>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</si>
  <si>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</si>
  <si>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</si>
  <si>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</si>
  <si>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</si>
  <si>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</si>
  <si>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</si>
  <si>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</si>
  <si>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</si>
  <si>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</si>
  <si>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</si>
  <si>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</si>
  <si>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</si>
  <si>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</si>
  <si>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</si>
  <si>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</si>
  <si>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</si>
  <si>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</si>
  <si>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</si>
  <si>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</si>
  <si>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</si>
  <si>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</si>
  <si>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</si>
  <si>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</si>
  <si>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</si>
  <si>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</si>
  <si>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</si>
  <si>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</si>
  <si>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</si>
  <si>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</si>
  <si>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</si>
  <si>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</si>
  <si>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</si>
  <si>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</si>
  <si>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</si>
  <si>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</si>
  <si>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</si>
  <si>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</si>
  <si>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</si>
  <si>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</si>
  <si>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</si>
  <si>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</si>
  <si>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</si>
  <si>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</si>
  <si>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</si>
  <si>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</si>
  <si>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</si>
  <si>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</si>
  <si>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</si>
  <si>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</si>
  <si>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</si>
  <si>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</si>
  <si>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</si>
  <si>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</si>
  <si>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</si>
  <si>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</si>
  <si>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</si>
  <si>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</si>
  <si>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</si>
  <si>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</si>
  <si>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</si>
  <si>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</si>
  <si>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</si>
  <si>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</si>
  <si>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</si>
  <si>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</si>
  <si>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</si>
  <si>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</si>
  <si>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</si>
  <si>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</si>
  <si>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</si>
  <si>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</si>
  <si>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</si>
  <si>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</si>
  <si>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</si>
  <si>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</si>
  <si>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</si>
  <si>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</si>
  <si>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</si>
  <si>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</si>
  <si>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</si>
  <si>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</si>
  <si>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</si>
  <si>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</si>
  <si>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</si>
  <si>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</si>
  <si>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</si>
  <si>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</si>
  <si>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</si>
  <si>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</si>
  <si>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</si>
  <si>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</si>
  <si>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</si>
  <si>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</si>
  <si>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</si>
  <si>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</si>
  <si>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</si>
  <si>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</si>
  <si>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</si>
  <si>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</si>
  <si>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</si>
  <si>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</si>
  <si>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</si>
  <si>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</si>
  <si>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</si>
  <si>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</si>
  <si>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</si>
  <si>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</si>
  <si>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</si>
  <si>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</si>
  <si>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</si>
  <si>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</si>
  <si>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</si>
  <si>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</si>
  <si>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</si>
  <si>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</si>
  <si>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</si>
  <si>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</si>
  <si>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</si>
  <si>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</si>
  <si>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</si>
  <si>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</si>
  <si>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</si>
  <si>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</si>
  <si>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</si>
  <si>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</si>
  <si>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</si>
  <si>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</si>
  <si>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</si>
  <si>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</si>
  <si>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</si>
  <si>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</si>
  <si>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</si>
  <si>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</si>
  <si>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</si>
  <si>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</si>
  <si>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</si>
  <si>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</si>
  <si>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</si>
  <si>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</si>
  <si>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</si>
  <si>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</si>
  <si>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</si>
  <si>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</si>
  <si>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</si>
  <si>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</si>
  <si>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</si>
  <si>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</si>
  <si>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</si>
  <si>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</si>
  <si>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</si>
  <si>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</si>
  <si>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</si>
  <si>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</si>
  <si>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</si>
  <si>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</si>
  <si>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</si>
  <si>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</si>
  <si>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</si>
  <si>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</si>
  <si>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</si>
  <si>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</si>
  <si>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</si>
  <si>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</si>
  <si>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</si>
  <si>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</si>
  <si>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</si>
  <si>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</si>
  <si>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</si>
  <si>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</si>
  <si>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</si>
  <si>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</si>
  <si>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</si>
  <si>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</si>
  <si>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</si>
  <si>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</si>
  <si>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</si>
  <si>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</si>
  <si>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</si>
  <si>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</si>
  <si>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</si>
  <si>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</si>
  <si>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</si>
  <si>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</si>
  <si>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</si>
  <si>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</si>
  <si>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</si>
  <si>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</si>
  <si>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</si>
  <si>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</si>
  <si>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</si>
  <si>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</si>
  <si>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</si>
  <si>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</si>
  <si>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</si>
  <si>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</si>
  <si>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</si>
  <si>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</si>
  <si>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</si>
  <si>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</si>
  <si>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</si>
  <si>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</si>
  <si>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</si>
  <si>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</si>
  <si>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</si>
  <si>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</si>
  <si>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</si>
  <si>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</si>
  <si>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</si>
  <si>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</si>
  <si>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</si>
  <si>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</si>
  <si>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</si>
  <si>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</si>
  <si>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</si>
  <si>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</si>
  <si>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</si>
  <si>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</si>
  <si>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</si>
  <si>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</si>
  <si>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</si>
  <si>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</si>
  <si>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</si>
  <si>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</si>
  <si>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</si>
  <si>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</si>
  <si>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</si>
  <si>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</si>
  <si>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</si>
  <si>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</si>
  <si>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</si>
  <si>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</si>
  <si>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</si>
  <si>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</si>
  <si>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</si>
  <si>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</si>
  <si>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</si>
  <si>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</si>
  <si>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</si>
  <si>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</si>
  <si>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</si>
  <si>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</si>
  <si>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</si>
  <si>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</si>
  <si>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</si>
  <si>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</si>
  <si>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</si>
  <si>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</si>
  <si>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</si>
  <si>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</si>
  <si>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</si>
  <si>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</si>
  <si>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</si>
  <si>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</si>
  <si>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</si>
  <si>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</si>
  <si>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</si>
  <si>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</si>
  <si>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</si>
  <si>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</si>
  <si>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</si>
  <si>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</si>
  <si>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</si>
  <si>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</si>
  <si>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</si>
  <si>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</si>
  <si>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</si>
  <si>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</si>
  <si>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</si>
  <si>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</si>
  <si>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</si>
  <si>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</si>
  <si>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</si>
  <si>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</si>
  <si>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</si>
  <si>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</si>
  <si>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</si>
  <si>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</si>
  <si>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</si>
  <si>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</si>
  <si>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</si>
  <si>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</si>
  <si>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</si>
  <si>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</si>
  <si>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</si>
  <si>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</si>
  <si>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</si>
  <si>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</si>
  <si>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</si>
  <si>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</si>
  <si>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</si>
  <si>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</si>
  <si>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</si>
  <si>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</si>
  <si>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</si>
  <si>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</si>
  <si>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</si>
  <si>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</si>
  <si>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</si>
  <si>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</si>
  <si>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</si>
  <si>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</si>
  <si>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</si>
  <si>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</si>
  <si>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</si>
  <si>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</si>
  <si>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</si>
  <si>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</si>
  <si>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</si>
  <si>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</si>
  <si>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</si>
  <si>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</si>
  <si>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</si>
  <si>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</si>
  <si>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</si>
  <si>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</si>
  <si>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</si>
  <si>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</si>
  <si>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</si>
  <si>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</si>
  <si>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</si>
  <si>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</si>
  <si>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</si>
  <si>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</si>
  <si>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</si>
  <si>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</si>
  <si>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</si>
  <si>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</si>
  <si>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</si>
  <si>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</si>
  <si>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</si>
  <si>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</si>
  <si>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</si>
  <si>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</si>
  <si>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</si>
  <si>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</si>
  <si>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</si>
  <si>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</si>
  <si>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</si>
  <si>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</si>
  <si>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</si>
  <si>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</si>
  <si>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</si>
  <si>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</si>
  <si>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</si>
  <si>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</si>
  <si>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</si>
  <si>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</si>
  <si>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</si>
  <si>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</si>
  <si>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</si>
  <si>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</si>
  <si>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</si>
  <si>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</si>
  <si>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</si>
  <si>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</si>
  <si>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</si>
  <si>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</si>
  <si>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</si>
  <si>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</si>
  <si>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</si>
  <si>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</si>
  <si>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</si>
  <si>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</si>
  <si>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</si>
  <si>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</si>
  <si>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</si>
  <si>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</si>
  <si>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</si>
  <si>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</si>
  <si>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</si>
  <si>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</si>
  <si>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</si>
  <si>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</si>
  <si>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</si>
  <si>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</si>
  <si>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</si>
  <si>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</si>
  <si>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</si>
  <si>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</si>
  <si>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</si>
  <si>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</si>
  <si>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</si>
  <si>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</si>
  <si>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</si>
  <si>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</si>
  <si>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</si>
  <si>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</si>
  <si>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</si>
  <si>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</si>
  <si>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</si>
  <si>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</si>
  <si>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</si>
  <si>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</si>
  <si>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</si>
  <si>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</si>
  <si>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</si>
  <si>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</si>
  <si>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</si>
  <si>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</si>
  <si>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</si>
  <si>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</si>
  <si>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</si>
  <si>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</si>
  <si>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</si>
  <si>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</si>
  <si>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</si>
  <si>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</si>
  <si>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</si>
  <si>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</si>
  <si>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</si>
  <si>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</si>
  <si>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</si>
  <si>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</si>
  <si>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</si>
  <si>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</si>
  <si>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</si>
  <si>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</si>
  <si>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</si>
  <si>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</si>
  <si>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</si>
  <si>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</si>
  <si>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</si>
  <si>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</si>
  <si>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</si>
  <si>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</si>
  <si>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</si>
  <si>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</si>
  <si>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</si>
  <si>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</si>
  <si>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</si>
  <si>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</si>
  <si>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</si>
  <si>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</si>
  <si>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</si>
  <si>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</si>
  <si>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</si>
  <si>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</si>
  <si>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</si>
  <si>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</si>
  <si>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</si>
  <si>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</si>
  <si>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</si>
  <si>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</si>
  <si>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</si>
  <si>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</si>
  <si>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</si>
  <si>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</si>
  <si>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</si>
  <si>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</si>
  <si>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</si>
  <si>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</si>
  <si>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</si>
  <si>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</si>
  <si>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</si>
  <si>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</si>
  <si>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</si>
  <si>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</si>
  <si>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</si>
  <si>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</si>
  <si>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</si>
  <si>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</si>
  <si>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</si>
  <si>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</si>
  <si>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</si>
  <si>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</si>
  <si>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</si>
  <si>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</si>
  <si>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</si>
  <si>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</si>
  <si>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</si>
  <si>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</si>
  <si>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</si>
  <si>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</si>
  <si>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</si>
  <si>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</si>
  <si>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</si>
  <si>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</si>
  <si>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</si>
  <si>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</si>
  <si>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</si>
  <si>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</si>
  <si>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</si>
  <si>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</si>
  <si>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</si>
  <si>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</si>
  <si>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</si>
  <si>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</si>
  <si>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</si>
  <si>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</si>
  <si>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</si>
  <si>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</si>
  <si>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</si>
  <si>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</si>
  <si>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</si>
  <si>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</si>
  <si>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</si>
  <si>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</si>
  <si>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</si>
  <si>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</si>
  <si>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</si>
  <si>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</si>
  <si>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</si>
  <si>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</si>
  <si>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</si>
  <si>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</si>
  <si>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</si>
  <si>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</si>
  <si>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</si>
  <si>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</si>
  <si>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</si>
  <si>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</si>
  <si>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</si>
  <si>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</si>
  <si>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</si>
  <si>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</si>
  <si>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</si>
  <si>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</si>
  <si>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</si>
  <si>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</si>
  <si>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</si>
  <si>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</si>
  <si>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</si>
  <si>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</si>
  <si>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</si>
  <si>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</si>
  <si>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</si>
  <si>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</si>
  <si>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</si>
  <si>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</si>
  <si>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</si>
  <si>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</si>
  <si>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</si>
  <si>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</si>
  <si>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</si>
  <si>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</si>
  <si>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</si>
  <si>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</si>
  <si>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</si>
  <si>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</si>
  <si>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</si>
  <si>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</si>
  <si>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</si>
  <si>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</si>
  <si>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</si>
  <si>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</si>
  <si>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</si>
  <si>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</si>
  <si>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</si>
  <si>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</si>
  <si>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</si>
  <si>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</si>
  <si>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</si>
  <si>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</si>
  <si>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</si>
  <si>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</si>
  <si>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</si>
  <si>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</si>
  <si>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</si>
  <si>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</si>
  <si>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</si>
  <si>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</si>
  <si>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</si>
  <si>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</si>
  <si>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</si>
  <si>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</si>
  <si>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</si>
  <si>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</si>
  <si>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</si>
  <si>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</si>
  <si>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</si>
  <si>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</si>
  <si>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</si>
  <si>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</si>
  <si>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</si>
  <si>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</si>
  <si>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</si>
  <si>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</si>
  <si>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</si>
  <si>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</si>
  <si>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</si>
  <si>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</si>
  <si>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</si>
  <si>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</si>
  <si>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</si>
  <si>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</si>
  <si>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</si>
  <si>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</si>
  <si>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</si>
  <si>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</si>
  <si>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</si>
  <si>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</si>
  <si>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</si>
  <si>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</si>
  <si>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</si>
  <si>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</si>
  <si>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</si>
  <si>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</si>
  <si>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</si>
  <si>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</si>
  <si>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</si>
  <si>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</si>
  <si>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</si>
  <si>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</si>
  <si>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</si>
  <si>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</si>
  <si>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</si>
  <si>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</si>
  <si>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</si>
  <si>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</si>
  <si>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</si>
  <si>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</si>
  <si>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</si>
  <si>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</si>
  <si>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</si>
  <si>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</si>
  <si>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</si>
  <si>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</si>
  <si>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</si>
  <si>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</si>
  <si>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</si>
  <si>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</si>
  <si>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</si>
  <si>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</si>
  <si>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</si>
  <si>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</si>
  <si>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</si>
  <si>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</si>
  <si>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</si>
  <si>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</si>
  <si>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</si>
  <si>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</si>
  <si>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</si>
  <si>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</si>
  <si>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</si>
  <si>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</si>
  <si>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</si>
  <si>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</si>
  <si>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</si>
  <si>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</si>
  <si>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</si>
  <si>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</si>
  <si>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</si>
  <si>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</si>
  <si>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</si>
  <si>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</si>
  <si>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</si>
  <si>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</si>
  <si>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</si>
  <si>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</si>
  <si>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</si>
  <si>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</si>
  <si>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</si>
  <si>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</si>
  <si>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</si>
  <si>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</si>
  <si>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</si>
  <si>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</si>
  <si>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</si>
  <si>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</si>
  <si>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</si>
  <si>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</si>
  <si>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</si>
  <si>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</si>
  <si>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</si>
  <si>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</si>
  <si>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</si>
  <si>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</si>
  <si>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</si>
  <si>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</si>
  <si>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</si>
  <si>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</si>
  <si>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</si>
  <si>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</si>
  <si>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</si>
  <si>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</si>
  <si>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</si>
  <si>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</si>
  <si>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</si>
  <si>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</si>
  <si>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</si>
  <si>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</si>
  <si>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</si>
  <si>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</si>
  <si>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</si>
  <si>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</si>
  <si>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</si>
  <si>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</si>
  <si>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</si>
  <si>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</si>
  <si>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</si>
  <si>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</si>
  <si>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</si>
  <si>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</si>
  <si>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</si>
  <si>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</si>
  <si>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</si>
  <si>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</si>
  <si>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</si>
  <si>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</si>
  <si>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</si>
  <si>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</si>
  <si>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</si>
  <si>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</si>
  <si>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</si>
  <si>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</si>
  <si>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</si>
  <si>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</si>
  <si>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</si>
  <si>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</si>
  <si>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</si>
  <si>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</si>
  <si>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</si>
  <si>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</si>
  <si>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</si>
  <si>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</si>
  <si>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</si>
  <si>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</si>
  <si>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</si>
  <si>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</si>
  <si>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</si>
  <si>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</si>
  <si>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</si>
  <si>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</si>
  <si>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</si>
  <si>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</si>
  <si>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</si>
  <si>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</si>
  <si>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</si>
  <si>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</si>
  <si>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</si>
  <si>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</si>
  <si>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</si>
  <si>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</si>
  <si>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</si>
  <si>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</si>
  <si>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</si>
  <si>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</si>
  <si>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</si>
  <si>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</si>
  <si>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</si>
  <si>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</si>
  <si>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</si>
  <si>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</si>
  <si>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</si>
  <si>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</si>
  <si>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</si>
  <si>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</si>
  <si>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</si>
  <si>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</si>
  <si>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</si>
  <si>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</si>
  <si>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</si>
  <si>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</si>
  <si>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</si>
  <si>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</si>
  <si>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</si>
  <si>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</si>
  <si>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</si>
  <si>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</si>
  <si>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</si>
  <si>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</si>
  <si>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</si>
  <si>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</si>
  <si>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</si>
  <si>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</si>
  <si>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</si>
  <si>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</si>
  <si>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</si>
  <si>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</si>
  <si>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</si>
  <si>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</si>
  <si>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</si>
  <si>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</si>
  <si>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</si>
  <si>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</si>
  <si>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</si>
  <si>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</si>
  <si>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</si>
  <si>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</si>
  <si>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</si>
  <si>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</si>
  <si>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</si>
  <si>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</si>
  <si>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</si>
  <si>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</si>
  <si>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</si>
  <si>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</si>
  <si>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</si>
  <si>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</si>
  <si>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</si>
  <si>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</si>
  <si>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</si>
  <si>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</si>
  <si>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</si>
  <si>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</si>
  <si>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</si>
  <si>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</si>
  <si>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</si>
  <si>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</si>
  <si>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</si>
  <si>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</si>
  <si>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</si>
  <si>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</si>
  <si>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</si>
  <si>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</si>
  <si>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</si>
  <si>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</si>
  <si>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</si>
  <si>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</si>
  <si>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</si>
  <si>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</si>
  <si>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</si>
  <si>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</si>
  <si>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</si>
  <si>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</si>
  <si>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</si>
  <si>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</si>
  <si>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</si>
  <si>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</si>
  <si>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</si>
  <si>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</si>
  <si>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</si>
  <si>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</si>
  <si>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</si>
  <si>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</si>
  <si>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</si>
  <si>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</si>
  <si>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</si>
  <si>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</si>
  <si>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</si>
  <si>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</si>
  <si>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</si>
  <si>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</si>
  <si>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</si>
  <si>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</si>
  <si>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</si>
  <si>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</si>
  <si>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</si>
  <si>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</si>
  <si>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</si>
  <si>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</si>
  <si>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</si>
  <si>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</si>
  <si>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</si>
  <si>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</si>
  <si>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</si>
  <si>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</si>
  <si>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</si>
  <si>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</si>
  <si>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</si>
  <si>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</si>
  <si>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</si>
  <si>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</si>
  <si>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</si>
  <si>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</si>
  <si>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</si>
  <si>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</si>
  <si>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</si>
  <si>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</si>
  <si>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</si>
  <si>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</si>
  <si>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</si>
  <si>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</si>
  <si>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</si>
  <si>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</si>
  <si>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</si>
  <si>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</si>
  <si>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</si>
  <si>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</si>
  <si>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</si>
  <si>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</si>
  <si>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</si>
  <si>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</si>
  <si>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</si>
  <si>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</si>
  <si>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</si>
  <si>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</si>
  <si>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</si>
  <si>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</si>
  <si>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</si>
  <si>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</si>
  <si>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</si>
  <si>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</si>
  <si>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</si>
  <si>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</si>
  <si>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</si>
  <si>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</si>
  <si>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</si>
  <si>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</si>
  <si>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</si>
  <si>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</si>
  <si>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</si>
  <si>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</si>
  <si>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</si>
  <si>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</si>
  <si>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</si>
  <si>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</si>
  <si>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</si>
  <si>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</si>
  <si>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</si>
  <si>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</si>
  <si>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</si>
  <si>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</si>
  <si>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</si>
  <si>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</si>
  <si>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</si>
  <si>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</si>
  <si>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</si>
  <si>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</si>
  <si>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</si>
  <si>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</si>
  <si>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</si>
  <si>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</si>
  <si>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</si>
  <si>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</si>
  <si>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</si>
  <si>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</si>
  <si>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</si>
  <si>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</si>
  <si>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</si>
  <si>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</si>
  <si>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</si>
  <si>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</si>
  <si>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</si>
  <si>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</si>
  <si>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</si>
  <si>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</si>
  <si>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</si>
  <si>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</si>
  <si>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</si>
  <si>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</si>
  <si>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</si>
  <si>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</si>
  <si>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</si>
  <si>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</si>
  <si>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</si>
  <si>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</si>
  <si>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</si>
  <si>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</si>
  <si>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</si>
  <si>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</si>
  <si>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</si>
  <si>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</si>
  <si>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</si>
  <si>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</si>
  <si>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</si>
  <si>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</si>
  <si>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</si>
  <si>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</si>
  <si>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</si>
  <si>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</si>
  <si>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</si>
  <si>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</si>
  <si>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</si>
  <si>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</si>
  <si>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</si>
  <si>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</si>
  <si>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</si>
  <si>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</si>
  <si>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</si>
  <si>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</si>
  <si>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</si>
  <si>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</si>
  <si>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</si>
  <si>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</si>
  <si>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</si>
  <si>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</si>
  <si>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</si>
  <si>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</si>
  <si>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</si>
  <si>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</si>
  <si>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</si>
  <si>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</si>
  <si>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</si>
  <si>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</si>
  <si>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</si>
  <si>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</si>
  <si>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</si>
  <si>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</si>
  <si>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</si>
  <si>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</si>
  <si>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</si>
  <si>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</si>
  <si>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</si>
  <si>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</si>
  <si>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</si>
  <si>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</si>
  <si>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</si>
  <si>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</si>
  <si>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</si>
  <si>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</si>
  <si>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</si>
  <si>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</si>
  <si>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</si>
  <si>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</si>
  <si>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</si>
  <si>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</si>
  <si>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</si>
  <si>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</si>
  <si>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</si>
  <si>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</si>
  <si>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</si>
  <si>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</si>
  <si>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</si>
  <si>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</si>
  <si>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</si>
  <si>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</si>
  <si>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</si>
  <si>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</si>
  <si>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</si>
  <si>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</si>
  <si>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</si>
  <si>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</si>
  <si>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</si>
  <si>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</si>
  <si>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</si>
  <si>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</si>
  <si>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</si>
  <si>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</si>
  <si>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</si>
  <si>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</si>
  <si>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</si>
  <si>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</si>
  <si>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</si>
  <si>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</si>
  <si>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</si>
  <si>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</si>
  <si>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</si>
  <si>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</si>
  <si>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</si>
  <si>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</si>
  <si>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</si>
  <si>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</si>
  <si>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</si>
  <si>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</si>
  <si>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</si>
  <si>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</si>
  <si>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</si>
  <si>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</si>
  <si>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</si>
  <si>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</si>
  <si>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</si>
  <si>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</si>
  <si>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</si>
  <si>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</si>
  <si>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</si>
  <si>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</si>
  <si>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</si>
  <si>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</si>
  <si>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</si>
  <si>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</si>
  <si>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</si>
  <si>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</si>
  <si>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</si>
  <si>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</si>
  <si>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</si>
  <si>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</si>
  <si>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</si>
  <si>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</si>
  <si>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</si>
  <si>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</si>
  <si>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</si>
  <si>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</si>
  <si>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</si>
  <si>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</si>
  <si>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</si>
  <si>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</si>
  <si>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</si>
  <si>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</si>
  <si>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</si>
  <si>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</si>
  <si>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</si>
  <si>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</si>
  <si>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</si>
  <si>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</si>
  <si>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</si>
  <si>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</si>
  <si>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</si>
  <si>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</si>
  <si>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</si>
  <si>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</si>
  <si>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</si>
  <si>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</si>
  <si>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</si>
  <si>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</si>
  <si>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</si>
  <si>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</si>
  <si>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</si>
  <si>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</si>
  <si>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</si>
  <si>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</si>
  <si>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</si>
  <si>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</si>
  <si>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</si>
  <si>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</si>
  <si>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</si>
  <si>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</si>
  <si>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</si>
  <si>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</si>
  <si>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</si>
  <si>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</si>
  <si>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</si>
  <si>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</si>
  <si>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</si>
  <si>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</si>
  <si>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</si>
  <si>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</si>
  <si>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</si>
  <si>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</si>
  <si>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</si>
  <si>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</si>
  <si>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</si>
  <si>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</si>
  <si>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</si>
  <si>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</si>
  <si>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</si>
  <si>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</si>
  <si>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</si>
  <si>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</si>
  <si>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</si>
  <si>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</si>
  <si>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</si>
  <si>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</si>
  <si>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</si>
  <si>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</si>
  <si>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</si>
  <si>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</si>
  <si>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</si>
  <si>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</si>
  <si>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</si>
  <si>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</si>
  <si>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</si>
  <si>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</si>
  <si>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</si>
  <si>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</si>
  <si>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</si>
  <si>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</si>
  <si>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</si>
  <si>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</si>
  <si>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</si>
  <si>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</si>
  <si>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</si>
  <si>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</si>
  <si>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</si>
  <si>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</si>
  <si>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</si>
  <si>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</si>
  <si>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</si>
  <si>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</si>
  <si>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</si>
  <si>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</si>
  <si>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</si>
  <si>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</si>
  <si>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</si>
  <si>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</si>
  <si>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</si>
  <si>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</si>
  <si>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</si>
  <si>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</si>
  <si>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</si>
  <si>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</si>
  <si>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</si>
  <si>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</si>
  <si>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</si>
  <si>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</si>
  <si>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</si>
  <si>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</si>
  <si>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</si>
  <si>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</si>
  <si>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</si>
  <si>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</si>
  <si>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</si>
  <si>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</si>
  <si>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</si>
  <si>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</si>
  <si>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</si>
  <si>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</si>
  <si>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</si>
  <si>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</si>
  <si>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</si>
  <si>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</si>
  <si>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</si>
  <si>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</si>
  <si>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</si>
  <si>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</si>
  <si>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</si>
  <si>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</si>
  <si>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</si>
  <si>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</si>
  <si>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</si>
  <si>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</si>
  <si>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</si>
  <si>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</si>
  <si>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</si>
  <si>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</si>
  <si>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</si>
  <si>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</si>
  <si>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</si>
  <si>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</si>
  <si>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</si>
  <si>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</si>
  <si>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</si>
  <si>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</si>
  <si>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</si>
  <si>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</si>
  <si>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</si>
  <si>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</si>
  <si>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</si>
  <si>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</si>
  <si>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</si>
  <si>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</si>
  <si>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</si>
  <si>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</si>
  <si>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</si>
  <si>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</si>
  <si>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</si>
  <si>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</si>
  <si>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</si>
  <si>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</si>
  <si>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</si>
  <si>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</si>
  <si>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</si>
  <si>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</si>
  <si>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</si>
  <si>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</si>
  <si>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</si>
  <si>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</si>
  <si>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</si>
  <si>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</si>
  <si>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</si>
  <si>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</si>
  <si>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</si>
  <si>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</si>
  <si>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</si>
  <si>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</si>
  <si>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</si>
  <si>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</si>
  <si>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</si>
  <si>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</si>
  <si>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</si>
  <si>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</si>
  <si>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</si>
  <si>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</si>
  <si>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</si>
  <si>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</si>
  <si>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</si>
  <si>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</si>
  <si>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</si>
  <si>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</si>
  <si>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</si>
  <si>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</si>
  <si>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</si>
  <si>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</si>
  <si>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</si>
  <si>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</si>
  <si>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</si>
  <si>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</si>
  <si>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</si>
  <si>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</si>
  <si>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</si>
  <si>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</si>
  <si>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</si>
  <si>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</si>
  <si>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</si>
  <si>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</si>
  <si>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</si>
  <si>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</si>
  <si>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</si>
  <si>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</si>
  <si>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</si>
  <si>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</si>
  <si>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</si>
  <si>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</si>
  <si>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</si>
  <si>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</si>
  <si>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</si>
  <si>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</si>
  <si>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</si>
  <si>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</si>
  <si>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</si>
  <si>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</si>
  <si>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</si>
  <si>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</si>
  <si>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</si>
  <si>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</si>
  <si>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</si>
  <si>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</si>
  <si>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</si>
  <si>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</si>
  <si>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</si>
  <si>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</si>
  <si>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</si>
  <si>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</si>
  <si>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</si>
  <si>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</si>
  <si>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</si>
  <si>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</si>
  <si>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</si>
  <si>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</si>
  <si>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</si>
  <si>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</si>
  <si>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</si>
  <si>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</si>
  <si>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</si>
  <si>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</si>
  <si>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</si>
  <si>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</si>
  <si>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</si>
  <si>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</si>
  <si>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</si>
  <si>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</si>
  <si>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</si>
  <si>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</si>
  <si>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</si>
  <si>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</si>
  <si>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</si>
  <si>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</si>
  <si>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</si>
  <si>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</si>
  <si>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</si>
  <si>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</si>
  <si>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</si>
  <si>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</si>
  <si>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</si>
  <si>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</si>
  <si>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</si>
  <si>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</si>
  <si>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</si>
  <si>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</si>
  <si>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</si>
  <si>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</si>
  <si>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</si>
  <si>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</si>
  <si>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</si>
  <si>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</si>
  <si>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</si>
  <si>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</si>
  <si>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</si>
  <si>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</si>
  <si>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</si>
  <si>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</si>
  <si>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</si>
  <si>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</si>
  <si>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</si>
  <si>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</si>
  <si>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</si>
  <si>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</si>
  <si>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</si>
  <si>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</si>
  <si>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</si>
  <si>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</si>
  <si>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</si>
  <si>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</si>
  <si>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</si>
  <si>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</si>
  <si>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</si>
  <si>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</si>
  <si>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</si>
  <si>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</si>
  <si>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</si>
  <si>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</si>
  <si>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</si>
  <si>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</si>
  <si>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</si>
  <si>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</si>
  <si>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</si>
  <si>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</si>
  <si>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</si>
  <si>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</si>
  <si>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</si>
  <si>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</si>
  <si>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</si>
  <si>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</si>
  <si>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</si>
  <si>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</si>
  <si>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</si>
  <si>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</si>
  <si>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</si>
  <si>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</si>
  <si>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</si>
  <si>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</si>
  <si>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</si>
  <si>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</si>
  <si>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</si>
  <si>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</si>
  <si>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</si>
  <si>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</si>
  <si>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</si>
  <si>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</si>
  <si>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</si>
  <si>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</si>
  <si>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</si>
  <si>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</si>
  <si>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</si>
  <si>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</si>
  <si>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</si>
  <si>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</si>
  <si>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</si>
  <si>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</si>
  <si>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</si>
  <si>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</si>
  <si>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</si>
  <si>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</si>
  <si>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</si>
  <si>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</si>
  <si>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</si>
  <si>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</si>
  <si>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</si>
  <si>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</si>
  <si>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</si>
  <si>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</si>
  <si>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</si>
  <si>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</si>
  <si>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</si>
  <si>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</si>
  <si>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</si>
  <si>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</si>
  <si>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</si>
  <si>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</si>
  <si>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</si>
  <si>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</si>
  <si>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</si>
  <si>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</si>
  <si>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</si>
  <si>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</si>
  <si>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</si>
  <si>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</si>
  <si>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</si>
  <si>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</si>
  <si>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</si>
  <si>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</si>
  <si>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</si>
  <si>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</si>
  <si>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</si>
  <si>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</si>
  <si>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</si>
  <si>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</si>
  <si>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</si>
  <si>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</si>
  <si>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</si>
  <si>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</si>
  <si>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</si>
  <si>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</si>
  <si>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</si>
  <si>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</si>
  <si>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</si>
  <si>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</si>
  <si>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</si>
  <si>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</si>
  <si>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</si>
  <si>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</si>
  <si>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</si>
  <si>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</si>
  <si>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</si>
  <si>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</si>
  <si>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</si>
  <si>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</si>
  <si>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</si>
  <si>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</si>
  <si>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</si>
  <si>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</si>
  <si>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</si>
  <si>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</si>
  <si>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</si>
  <si>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</si>
  <si>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</si>
  <si>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</si>
  <si>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</si>
  <si>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</si>
  <si>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</si>
  <si>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</si>
  <si>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N/a</t>
  </si>
  <si>
    <t>We commit to engage QB's in the development/operation of Lewis Crossing in an amount equal to or above 10% of total construction hard costs as certified by the Independent Auditor Report in the Final Allocation Application. When submitting this report, we will describe the successes, obstacles, and other notes.</t>
  </si>
  <si>
    <t>Submitted</t>
  </si>
  <si>
    <t>Purchase Contract</t>
  </si>
  <si>
    <t xml:space="preserve">Woda Cooper Development, Inc. </t>
  </si>
  <si>
    <t>Clay Cooper</t>
  </si>
  <si>
    <t>ccooper@wodagroup.com</t>
  </si>
  <si>
    <t>Parallel Housing, Inc.</t>
  </si>
  <si>
    <t>greggbayard@gmail.com</t>
  </si>
  <si>
    <t>Gregg Bayard</t>
  </si>
  <si>
    <t xml:space="preserve">Senior Vice President and Director of Development </t>
  </si>
  <si>
    <t>President</t>
  </si>
  <si>
    <t>Lewis Crossing</t>
  </si>
  <si>
    <t>City Limits</t>
  </si>
  <si>
    <t>9% Credit Competitive Round only</t>
  </si>
  <si>
    <t>Bowen National Research</t>
  </si>
  <si>
    <t>United Consulting</t>
  </si>
  <si>
    <t>Lewis Crossing Limited Partnership</t>
  </si>
  <si>
    <t>Georgia Power</t>
  </si>
  <si>
    <t>Room</t>
  </si>
  <si>
    <t>On-site laundry</t>
  </si>
  <si>
    <t>Agree</t>
  </si>
  <si>
    <t xml:space="preserve">The market study findings are very strong. The overall market occupancy rate is 94.9%. The overall capture rate is 2.2%. </t>
  </si>
  <si>
    <t>Georgia Power will provide power to this site. They have provided a "will-serve" letter confirming the ability to service the site. The letter is included in the application.</t>
  </si>
  <si>
    <t>Gazebo</t>
  </si>
  <si>
    <t>Lewis Crossing will have all required amenities in the 2024-2025 QAP</t>
  </si>
  <si>
    <t>The CSDP has been included as part of the application. All necessary and required features and details have been called out on the CSDP.</t>
  </si>
  <si>
    <t xml:space="preserve">City of Atlanta </t>
  </si>
  <si>
    <t>The City of Atlanta provides the water services to Atlanta. The city of Atlanta has provided a "will-serve" letter which is attached as part of the application.</t>
  </si>
  <si>
    <t>This is a new construction project. No additional Design Options were requested.</t>
  </si>
  <si>
    <t>Yes - see Comment</t>
  </si>
  <si>
    <t>This section is NA. We are not applying under the Preservation Set Aside.</t>
  </si>
  <si>
    <t>This section is NA. We are not applying under the Non-Profit Set Aside.</t>
  </si>
  <si>
    <t>No legal opinions are required.</t>
  </si>
  <si>
    <t>This section is NA. There are no buildings on the site.</t>
  </si>
  <si>
    <t>The Development Team is committed to AFFH.</t>
  </si>
  <si>
    <t xml:space="preserve">A tenant selection plan is included as part of the application. </t>
  </si>
  <si>
    <t>This section is NA. There will not be a PBRA Agreement for Lewis Crossing</t>
  </si>
  <si>
    <t>Vine City Transit Hub</t>
  </si>
  <si>
    <t xml:space="preserve">Midtown High School </t>
  </si>
  <si>
    <t>Centennial Academy</t>
  </si>
  <si>
    <t>Per the 2024-2025 QAP no appraisal was needed until the Threshold Review submission.</t>
  </si>
  <si>
    <t>This section is NA</t>
  </si>
  <si>
    <t>E&amp;A Team</t>
  </si>
  <si>
    <t>NA as the narraitive is only required for a 4% application.</t>
  </si>
  <si>
    <t xml:space="preserve">This section is NA as we are not applying under the Stable Communites section. </t>
  </si>
  <si>
    <t xml:space="preserve">This section is NA as we are not applying under the Community Designations section. </t>
  </si>
  <si>
    <t xml:space="preserve">This section is NA as we are not applying under the Housing Needs Charateristics section. </t>
  </si>
  <si>
    <t>This section is NA as this is an Atlanta Metro site which does not apply to this section.</t>
  </si>
  <si>
    <t>This section is NA as we are not applying under the Historic Preservation section.</t>
  </si>
  <si>
    <t>This section is NA.</t>
  </si>
  <si>
    <t>InvestAtlanta</t>
  </si>
  <si>
    <t>Merchants Capital</t>
  </si>
  <si>
    <t>Invest Atlanta</t>
  </si>
  <si>
    <t>Woda Cooper Development, Inc. and Parallel Housing, Inc.</t>
  </si>
  <si>
    <t>Amortizing</t>
  </si>
  <si>
    <t>United Bank CDFI</t>
  </si>
  <si>
    <t>Woda Cooper Development, Inc. &amp; Parallel Housing, Inc.</t>
  </si>
  <si>
    <t>45L Energy Credit Equity</t>
  </si>
  <si>
    <t>Cost Segregation Study</t>
  </si>
  <si>
    <t>The equity check shows a slight variance on the Federal side since the investor, Merchants Capital, only receives 99.99% of those credits.</t>
  </si>
  <si>
    <t xml:space="preserve">* To all applicants: in addition to your other comments, please provide methodology for determining applicable construction hard costs.
Construction hard costs were determined by the estimate received from the general contractor: Woda Construction, Inc. This estimate is included in the submission. </t>
  </si>
  <si>
    <t>The cost segregation study breaks development costs into 5-year, 7.5-year, 15-year, and 27.5-year depreciation classes as permitted by the internal revenue code.  This will be required by the tax credit investor to substantiate bonus depreciation assumptions.</t>
  </si>
  <si>
    <t>The cost segregation study can be capitalized to the depreciable building.  It is similar to an appraisal in that regard.</t>
  </si>
  <si>
    <t>Atlanta Housing Authority</t>
  </si>
  <si>
    <t>Low-Rise Elevator</t>
  </si>
  <si>
    <t>Electric Heat Pump</t>
  </si>
  <si>
    <t>HUD</t>
  </si>
  <si>
    <t>Misc. Taxes</t>
  </si>
  <si>
    <t>Invest Atlanta Fees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</si>
  <si>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taxes were estimated using the income approach and a comparable property analysis.  This is detailed in Tab 01 of the application.  The insurance expense was estimated using a quote from the provider: State Farm.</t>
  </si>
  <si>
    <t>see letter from Invest Atlanta</t>
  </si>
  <si>
    <t xml:space="preserve">We agree to commit to register to being a participating landlord with the local Housing Choice Voucher (HCV) administrator. </t>
  </si>
  <si>
    <t>https://www.itsmarta.com/Vine-City.aspx</t>
  </si>
  <si>
    <t>custserv@itsmarta.com</t>
  </si>
  <si>
    <t>404-848-5000</t>
  </si>
  <si>
    <t>Soil and groundwater impacts and vapor intrusion risks were noted in the report. Costs to address the mitigation of such findings have been included in the budget. Although no vapor mitigation will be necessary based on there being no ground level units, we will continue to evaluate the vapor pathway in our design process.</t>
  </si>
  <si>
    <t xml:space="preserve">The Development team is experienced working with thrid party accessibility consultants and has worked with the E&amp;A Team in the past. </t>
  </si>
  <si>
    <t xml:space="preserve">Readiness to Proceed documents have been saved in folder 52AddlDoc. </t>
  </si>
  <si>
    <t>Lewis Crossing is 0.4 miles from the Vine City Transit Hub.</t>
  </si>
  <si>
    <t>Midtown High School is formally known as Henry W. Grady Highschool. The tenants at Lewis Crossing can attend Centennial Academy by right and the supporting documentation can be found in Tab 13.</t>
  </si>
  <si>
    <t>CDFI Capital Magnet Funds</t>
  </si>
  <si>
    <t>United Bank</t>
  </si>
  <si>
    <t xml:space="preserve">The Purchase Agreement was entered into between the Seller and Woda Cooper Development, Inc. Woda Cooper Development has assigned the Purchase Agreement to Lewis Crossing Limited Partnership (Owner). Closing shall occur on or before December 15, 2024. The Purchase Agreement and the Assignment have been included in the application. </t>
  </si>
  <si>
    <t xml:space="preserve">This section is NA as we are not applying under the Phased Development section. </t>
  </si>
  <si>
    <t>Westside TAD Ascension Fund</t>
  </si>
  <si>
    <t xml:space="preserve">Invest Atlanta </t>
  </si>
  <si>
    <t>The location of Lewis Crossing is perfect for this development. The market study aligns with this statement showing that there is a great need for affordable housing in this area. Lewis Crossing is financially secure. United Bank which is a CDFI, has provided a loan commitment for $500,000.00 and Invest Atlanta has provided a grant commitment for $1,000,000.00 sourced from the Westside Acsencion Fund.</t>
  </si>
  <si>
    <t xml:space="preserve">Lewis Crossing will be a family community providing housing opportunities for families, singles, and seniors. </t>
  </si>
  <si>
    <t>All required services determined in the 2024-2025 QAP will be met by Lewis Crossing. Lewis Crossing will be managed by Woda Cooper Companies' property management company (Woda Management &amp; Real Estate, LLC), a company which has an extensive background providing these services.</t>
  </si>
  <si>
    <t xml:space="preserve">The Phase I, Phase II and the Environmental Transmittal have been included in Tab 52 and Tab 8. The findings disclosed no major issues and will be addressed and mitigated accordingly in the design process. </t>
  </si>
  <si>
    <t xml:space="preserve">The Lewis Crossing site location is right on the corner of Chapel Street and Haynes Street, lending itself to easy site access. There will be a vehicular access onto Chapel Street and a pedestrian access on both Chapel Street and Haynes Street. Pimsler Hoss Architects has created a CSDP which is included in Tab 8 as well as Tab 52 of the application. </t>
  </si>
  <si>
    <t>The site is zoned MRC-2. The CSDP attached as part of the application shows the proposed building meeting the current zoning requirements.</t>
  </si>
  <si>
    <t>We have chosen the USGBC LEED for Home certification for Lewis Crossing. The development team is highly experienced with multiple third-party sustainable building programs, including LEED for Home, EarthCraft Home and Zero Energy Ready Home programs. All LIHTC developments in Georgia have achieved to date LEED for Homes Silver, Gold or Platinum certifications. Lewis Crossing will be a LEED for Homes- Multifamily Mid-Rise. We are experienced partnering with 3rd party sustainability consultants.</t>
  </si>
  <si>
    <t>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Watson Pointe Development Team was deemed Qualified as per the letter from DCA dated May 1, 2024.</t>
  </si>
  <si>
    <t>A MOU was entered into with Partners for HOME to provide referrals for those impacted by homelessness. We have collaborated previously with Partners for HOME. The MOU is included as part of the application.</t>
  </si>
  <si>
    <t>This project optimizes the utilization of resources. The site is located in an area that shows high need for affordable housing. We have full support from NPU M for this project. We have commitment from United Bank (CDFI) for a Capital Magnet Loan for $500,000.00 and from Invest Atlanta for a Westside Acsencion Fund grant for $1,000,000.00.</t>
  </si>
  <si>
    <t>We have received a grant commitment from Invest Atlanta (Westside Acsencion Fund) for $1,000,000.00 and a loan commitment from United Bank (CDFI) for $500,000.00.</t>
  </si>
  <si>
    <t xml:space="preserve">Lewis Pointe will reserve 10% of the units to prioritize referrals from Partners for HOME, a DCA- approved entity as per the attached MOU. Lewis Crossing will be a development that will have referrals without a PBRA contract. </t>
  </si>
  <si>
    <t>Lewis Crossing is located in downtown Atlanta and is surrounded by many amenities in the vicinity totaling more than the max score allowed for Desirables.</t>
  </si>
  <si>
    <t>Lewis Crossing scores 3 points as there have been "no awards within a one-mile radius of site and site within one-mile radius of transit hub" within the last three years.</t>
  </si>
  <si>
    <t>We commit to accepting resident services coordination from an entity certified as a "3rd Party Resident Services Coordination Contractor" by CORES or other DCA-approved program.</t>
  </si>
  <si>
    <t>Lewis Crossing is located within the boundaries of the Westside TAD. The City of Atlanta received public input prior to the adoption and readoption of this qualified CRP. The CRP was created to improve infrastructure and to further enhance living in the community, including additional housing. The improvements to the infrastructure are realized thanks to third-party capital investments. All the documentation on the Westside TAD can be found in Tab 14.</t>
  </si>
  <si>
    <t>Lewis Crossing will have 50 residential units for general occupancy tenants. It will be a 5-story development with underground parking and an elevator. After discussion with the Castlebury Hill Neighborhood Association and the NPU-M, the development will have one-, two- and three-bedroom units. The exterior will have 80% brick and include some public art on the first floor. 
We have placed the Core Application (Excel &amp; PDF) in the 01 Project Overview folder.  Also included are the signed Application Certifications, Affidavits, and the related Affidavit verification documents.</t>
  </si>
  <si>
    <t>Strength of the application is the recognized need for affordable housing in downtown Atlanta.  The Invest Atlanta meeting held on May 16, 2024, approved to grant $1,000,000 from the Westside TAD Ascension Fund to the Lewis Crossing development. Partners for HOME has agreed to provide referrals for those impacted by homelessness.
We have included in the Competitive Application folder all the data requested to claim the Readiness to Proceed points.  In the Tab 08 Readiness to Proceed folder we have listed all Threshold items we are including in this section. In Tab 52 Additional Docs we have submitted the data in separate sub-folders for each of the Threshold items to facilitate the review of such documents.</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</si>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</sst>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4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7"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68" fillId="0" borderId="0" xfId="13" applyFont="1"/>
    <xf numFmtId="0" fontId="171" fillId="0" borderId="0" xfId="13" applyFont="1"/>
    <xf numFmtId="0" fontId="75" fillId="0" borderId="0" xfId="13" applyFont="1"/>
    <xf numFmtId="0" fontId="172"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4" fillId="0" borderId="0" xfId="0" applyFont="1" applyAlignment="1">
      <alignment vertical="center" wrapText="1"/>
    </xf>
    <xf numFmtId="3" fontId="176"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7"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79"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5"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4"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5" fillId="0" borderId="0" xfId="0" applyFont="1"/>
    <xf numFmtId="0" fontId="184" fillId="0" borderId="0" xfId="0" applyFont="1"/>
    <xf numFmtId="38" fontId="184" fillId="0" borderId="0" xfId="0" applyNumberFormat="1" applyFont="1"/>
    <xf numFmtId="164" fontId="184" fillId="0" borderId="0" xfId="1" applyNumberFormat="1" applyFont="1"/>
    <xf numFmtId="43" fontId="184" fillId="0" borderId="0" xfId="0" applyNumberFormat="1" applyFont="1"/>
    <xf numFmtId="0" fontId="3" fillId="10" borderId="0" xfId="12" applyFont="1" applyFill="1"/>
    <xf numFmtId="10" fontId="186" fillId="10" borderId="0" xfId="0" applyNumberFormat="1" applyFont="1" applyFill="1"/>
    <xf numFmtId="0" fontId="184"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7"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89" fillId="0" borderId="28" xfId="0" applyFont="1" applyBorder="1" applyAlignment="1">
      <alignment horizontal="center" vertical="center"/>
    </xf>
    <xf numFmtId="164" fontId="189" fillId="0" borderId="29" xfId="1" applyNumberFormat="1" applyFont="1" applyFill="1" applyBorder="1" applyAlignment="1" applyProtection="1">
      <alignment horizontal="center" vertical="center"/>
    </xf>
    <xf numFmtId="0" fontId="189" fillId="0" borderId="33" xfId="0" applyFont="1" applyBorder="1" applyAlignment="1">
      <alignment horizontal="center" vertical="center"/>
    </xf>
    <xf numFmtId="164" fontId="189"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4" fillId="0" borderId="0" xfId="0" applyFont="1" applyAlignment="1">
      <alignment vertical="center"/>
    </xf>
    <xf numFmtId="0" fontId="18" fillId="0" borderId="0" xfId="0" applyFont="1" applyAlignment="1">
      <alignment horizontal="left"/>
    </xf>
    <xf numFmtId="0" fontId="136" fillId="0" borderId="0" xfId="0" applyFont="1"/>
    <xf numFmtId="0" fontId="195"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7" fillId="0" borderId="0" xfId="0" applyFont="1"/>
    <xf numFmtId="3" fontId="12" fillId="11" borderId="15" xfId="0" applyNumberFormat="1" applyFont="1" applyFill="1" applyBorder="1" applyAlignment="1" applyProtection="1">
      <alignment horizontal="center" vertical="center"/>
      <protection locked="0"/>
    </xf>
    <xf numFmtId="37" fontId="199" fillId="0" borderId="0" xfId="0" applyNumberFormat="1" applyFont="1" applyAlignment="1">
      <alignment horizontal="center" vertical="center"/>
    </xf>
    <xf numFmtId="3" fontId="197"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0"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3" fillId="0" borderId="0" xfId="0" applyFont="1"/>
    <xf numFmtId="9" fontId="203"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3"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3"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4"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7"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7" fillId="0" borderId="78" xfId="33" applyFont="1" applyBorder="1" applyAlignment="1">
      <alignment vertical="center"/>
    </xf>
    <xf numFmtId="164" fontId="207" fillId="0" borderId="0" xfId="34" applyNumberFormat="1" applyFont="1"/>
    <xf numFmtId="0" fontId="74" fillId="0" borderId="7" xfId="33" applyFont="1" applyBorder="1" applyAlignment="1">
      <alignment horizontal="left" vertical="center"/>
    </xf>
    <xf numFmtId="0" fontId="207" fillId="0" borderId="0" xfId="33" applyFont="1" applyAlignment="1">
      <alignment vertical="center"/>
    </xf>
    <xf numFmtId="0" fontId="207" fillId="0" borderId="8" xfId="33" applyFont="1" applyBorder="1" applyAlignment="1">
      <alignment vertical="center"/>
    </xf>
    <xf numFmtId="0" fontId="207" fillId="0" borderId="9" xfId="33" applyFont="1" applyBorder="1" applyAlignment="1">
      <alignment horizontal="left" vertical="center"/>
    </xf>
    <xf numFmtId="0" fontId="207" fillId="0" borderId="13" xfId="33" applyFont="1" applyBorder="1" applyAlignment="1">
      <alignment vertical="center"/>
    </xf>
    <xf numFmtId="0" fontId="207" fillId="0" borderId="14" xfId="33" applyFont="1" applyBorder="1" applyAlignment="1">
      <alignment vertical="center"/>
    </xf>
    <xf numFmtId="0" fontId="207" fillId="0" borderId="82" xfId="33" applyFont="1" applyBorder="1"/>
    <xf numFmtId="0" fontId="207" fillId="0" borderId="78" xfId="33" applyFont="1" applyBorder="1"/>
    <xf numFmtId="0" fontId="207" fillId="0" borderId="13" xfId="33" applyFont="1" applyBorder="1"/>
    <xf numFmtId="0" fontId="207" fillId="0" borderId="141" xfId="33" applyFont="1" applyBorder="1"/>
    <xf numFmtId="0" fontId="207" fillId="0" borderId="0" xfId="33" applyFont="1" applyAlignment="1">
      <alignment horizontal="center"/>
    </xf>
    <xf numFmtId="0" fontId="207" fillId="0" borderId="0" xfId="33" applyFont="1" applyAlignment="1">
      <alignment horizontal="left"/>
    </xf>
    <xf numFmtId="166" fontId="207" fillId="0" borderId="0" xfId="35" applyNumberFormat="1" applyFont="1"/>
    <xf numFmtId="0" fontId="210" fillId="0" borderId="0" xfId="33" applyFont="1" applyAlignment="1">
      <alignment horizontal="left"/>
    </xf>
    <xf numFmtId="164" fontId="207" fillId="0" borderId="0" xfId="33" applyNumberFormat="1" applyFont="1"/>
    <xf numFmtId="164" fontId="207" fillId="28" borderId="137" xfId="34" applyNumberFormat="1" applyFont="1" applyFill="1" applyBorder="1"/>
    <xf numFmtId="0" fontId="207" fillId="0" borderId="77" xfId="33" applyFont="1" applyBorder="1"/>
    <xf numFmtId="0" fontId="207" fillId="0" borderId="140" xfId="33" applyFont="1" applyBorder="1" applyAlignment="1">
      <alignment horizontal="center"/>
    </xf>
    <xf numFmtId="0" fontId="87" fillId="0" borderId="83" xfId="33" applyFont="1" applyBorder="1" applyAlignment="1">
      <alignment horizontal="center" wrapText="1"/>
    </xf>
    <xf numFmtId="0" fontId="207" fillId="0" borderId="47" xfId="33" applyFont="1" applyBorder="1"/>
    <xf numFmtId="0" fontId="207" fillId="0" borderId="79" xfId="33" applyFont="1" applyBorder="1" applyAlignment="1">
      <alignment vertical="center"/>
    </xf>
    <xf numFmtId="164" fontId="207" fillId="0" borderId="79" xfId="34" applyNumberFormat="1" applyFont="1" applyBorder="1" applyAlignment="1">
      <alignment horizontal="center" vertical="center"/>
    </xf>
    <xf numFmtId="0" fontId="209" fillId="0" borderId="79" xfId="33" applyFont="1" applyBorder="1" applyAlignment="1">
      <alignment vertical="center"/>
    </xf>
    <xf numFmtId="0" fontId="207" fillId="0" borderId="79" xfId="33" applyFont="1" applyBorder="1" applyAlignment="1">
      <alignment horizontal="center" vertical="center"/>
    </xf>
    <xf numFmtId="0" fontId="207" fillId="0" borderId="82" xfId="33" applyFont="1" applyBorder="1" applyAlignment="1">
      <alignment vertical="center"/>
    </xf>
    <xf numFmtId="0" fontId="207" fillId="0" borderId="141" xfId="33" applyFont="1" applyBorder="1" applyAlignment="1">
      <alignment vertical="center"/>
    </xf>
    <xf numFmtId="164" fontId="207" fillId="28" borderId="143" xfId="34" applyNumberFormat="1" applyFont="1" applyFill="1" applyBorder="1" applyAlignment="1">
      <alignment horizontal="center" vertical="center"/>
    </xf>
    <xf numFmtId="182" fontId="207" fillId="28" borderId="128" xfId="33" applyNumberFormat="1" applyFont="1" applyFill="1" applyBorder="1" applyAlignment="1">
      <alignment horizontal="center" vertical="center"/>
    </xf>
    <xf numFmtId="182" fontId="207" fillId="28" borderId="17" xfId="33" applyNumberFormat="1" applyFont="1" applyFill="1" applyBorder="1" applyAlignment="1">
      <alignment horizontal="center" vertical="center"/>
    </xf>
    <xf numFmtId="182" fontId="207" fillId="28" borderId="18" xfId="33" applyNumberFormat="1" applyFont="1" applyFill="1" applyBorder="1" applyAlignment="1">
      <alignment horizontal="center" vertical="center"/>
    </xf>
    <xf numFmtId="0" fontId="207" fillId="0" borderId="82" xfId="33" applyFont="1" applyBorder="1" applyAlignment="1">
      <alignment horizontal="right" vertical="center"/>
    </xf>
    <xf numFmtId="0" fontId="207" fillId="0" borderId="0" xfId="33" applyFont="1" applyAlignment="1">
      <alignment horizontal="right" vertical="center"/>
    </xf>
    <xf numFmtId="164" fontId="207" fillId="28" borderId="137" xfId="34" applyNumberFormat="1" applyFont="1" applyFill="1" applyBorder="1" applyAlignment="1">
      <alignment horizontal="center" vertical="center"/>
    </xf>
    <xf numFmtId="0" fontId="207" fillId="11" borderId="83" xfId="33" applyFont="1" applyFill="1" applyBorder="1" applyAlignment="1">
      <alignment horizontal="center" vertical="center"/>
    </xf>
    <xf numFmtId="0" fontId="207" fillId="11" borderId="81" xfId="33" applyFont="1" applyFill="1" applyBorder="1" applyAlignment="1">
      <alignment horizontal="center" vertical="center"/>
    </xf>
    <xf numFmtId="0" fontId="207" fillId="11" borderId="11" xfId="33" applyFont="1" applyFill="1" applyBorder="1" applyAlignment="1">
      <alignment horizontal="center" vertical="center"/>
    </xf>
    <xf numFmtId="0" fontId="207"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7" fillId="29" borderId="35" xfId="33" applyNumberFormat="1" applyFont="1" applyFill="1" applyBorder="1" applyAlignment="1">
      <alignment horizontal="center"/>
    </xf>
    <xf numFmtId="0" fontId="209" fillId="0" borderId="143" xfId="33" applyFont="1" applyBorder="1" applyAlignment="1">
      <alignment horizontal="right"/>
    </xf>
    <xf numFmtId="0" fontId="206" fillId="0" borderId="0" xfId="33" applyFont="1"/>
    <xf numFmtId="164" fontId="209" fillId="29" borderId="142" xfId="34" applyNumberFormat="1" applyFont="1" applyFill="1" applyBorder="1" applyAlignment="1">
      <alignment horizontal="center" vertical="center"/>
    </xf>
    <xf numFmtId="164" fontId="209" fillId="29" borderId="142" xfId="34" applyNumberFormat="1" applyFont="1" applyFill="1" applyBorder="1" applyAlignment="1">
      <alignment horizontal="center"/>
    </xf>
    <xf numFmtId="182" fontId="207" fillId="0" borderId="141" xfId="33" applyNumberFormat="1" applyFont="1" applyBorder="1" applyAlignment="1">
      <alignment horizontal="center"/>
    </xf>
    <xf numFmtId="0" fontId="207" fillId="0" borderId="138" xfId="33" applyFont="1" applyBorder="1" applyAlignment="1">
      <alignment horizontal="center"/>
    </xf>
    <xf numFmtId="0" fontId="207" fillId="0" borderId="44" xfId="33" applyFont="1" applyBorder="1" applyAlignment="1">
      <alignment horizontal="center"/>
    </xf>
    <xf numFmtId="0" fontId="207" fillId="0" borderId="139" xfId="33" applyFont="1" applyBorder="1" applyAlignment="1">
      <alignment horizontal="center"/>
    </xf>
    <xf numFmtId="0" fontId="207" fillId="0" borderId="8" xfId="33" applyFont="1" applyBorder="1"/>
    <xf numFmtId="0" fontId="207" fillId="0" borderId="14" xfId="33" applyFont="1" applyBorder="1"/>
    <xf numFmtId="164" fontId="212" fillId="29" borderId="15" xfId="34" applyNumberFormat="1" applyFont="1" applyFill="1" applyBorder="1" applyAlignment="1">
      <alignment horizontal="center" vertical="center"/>
    </xf>
    <xf numFmtId="0" fontId="207" fillId="0" borderId="151" xfId="33" applyFont="1" applyBorder="1"/>
    <xf numFmtId="164" fontId="207" fillId="28" borderId="143" xfId="34" applyNumberFormat="1" applyFont="1" applyFill="1" applyBorder="1"/>
    <xf numFmtId="0" fontId="207" fillId="0" borderId="135" xfId="33" applyFont="1" applyBorder="1"/>
    <xf numFmtId="184" fontId="213" fillId="28" borderId="128" xfId="33" applyNumberFormat="1" applyFont="1" applyFill="1" applyBorder="1" applyAlignment="1">
      <alignment horizontal="center" vertical="center"/>
    </xf>
    <xf numFmtId="182" fontId="213" fillId="28" borderId="128" xfId="33" applyNumberFormat="1" applyFont="1" applyFill="1" applyBorder="1" applyAlignment="1">
      <alignment horizontal="center" vertical="center"/>
    </xf>
    <xf numFmtId="0" fontId="213" fillId="0" borderId="0" xfId="33" applyFont="1"/>
    <xf numFmtId="164" fontId="213" fillId="28" borderId="128" xfId="34" applyNumberFormat="1" applyFont="1" applyFill="1" applyBorder="1" applyAlignment="1">
      <alignment horizontal="center" vertical="center"/>
    </xf>
    <xf numFmtId="184" fontId="213" fillId="28" borderId="17" xfId="33" applyNumberFormat="1" applyFont="1" applyFill="1" applyBorder="1" applyAlignment="1">
      <alignment horizontal="center" vertical="center"/>
    </xf>
    <xf numFmtId="182" fontId="213" fillId="28" borderId="17" xfId="33" applyNumberFormat="1" applyFont="1" applyFill="1" applyBorder="1" applyAlignment="1">
      <alignment horizontal="center" vertical="center"/>
    </xf>
    <xf numFmtId="164" fontId="213" fillId="28" borderId="17" xfId="34" applyNumberFormat="1" applyFont="1" applyFill="1" applyBorder="1" applyAlignment="1">
      <alignment horizontal="center" vertical="center"/>
    </xf>
    <xf numFmtId="184" fontId="213" fillId="28" borderId="18" xfId="33" applyNumberFormat="1" applyFont="1" applyFill="1" applyBorder="1" applyAlignment="1">
      <alignment horizontal="center" vertical="center"/>
    </xf>
    <xf numFmtId="182" fontId="213" fillId="28" borderId="18" xfId="33" applyNumberFormat="1" applyFont="1" applyFill="1" applyBorder="1" applyAlignment="1">
      <alignment horizontal="center" vertical="center"/>
    </xf>
    <xf numFmtId="164" fontId="213" fillId="28" borderId="18" xfId="34" applyNumberFormat="1" applyFont="1" applyFill="1" applyBorder="1" applyAlignment="1">
      <alignment horizontal="center" vertical="center"/>
    </xf>
    <xf numFmtId="0" fontId="213"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7"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18" fillId="0" borderId="163" xfId="0" applyNumberFormat="1" applyFont="1" applyBorder="1" applyAlignment="1">
      <alignment horizontal="center" vertical="center"/>
    </xf>
    <xf numFmtId="10" fontId="218" fillId="0" borderId="164" xfId="0" applyNumberFormat="1" applyFont="1" applyBorder="1" applyAlignment="1">
      <alignment horizontal="center" vertical="center"/>
    </xf>
    <xf numFmtId="10" fontId="218" fillId="0" borderId="165" xfId="0" applyNumberFormat="1" applyFont="1" applyBorder="1" applyAlignment="1">
      <alignment horizontal="center" vertical="center"/>
    </xf>
    <xf numFmtId="10" fontId="218" fillId="0" borderId="170" xfId="0" applyNumberFormat="1" applyFont="1" applyBorder="1" applyAlignment="1">
      <alignment horizontal="center" vertical="center"/>
    </xf>
    <xf numFmtId="10" fontId="218" fillId="0" borderId="161" xfId="0" applyNumberFormat="1" applyFont="1" applyBorder="1" applyAlignment="1">
      <alignment horizontal="center" vertical="center"/>
    </xf>
    <xf numFmtId="10" fontId="218"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6"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7" fillId="0" borderId="7" xfId="33" applyFont="1" applyBorder="1" applyAlignment="1">
      <alignment horizontal="center"/>
    </xf>
    <xf numFmtId="0" fontId="209" fillId="0" borderId="141" xfId="33" applyFont="1" applyBorder="1" applyAlignment="1">
      <alignment horizontal="right"/>
    </xf>
    <xf numFmtId="0" fontId="182"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09" fillId="0" borderId="141" xfId="33" applyFont="1" applyBorder="1"/>
    <xf numFmtId="0" fontId="209" fillId="0" borderId="140" xfId="33" applyFont="1" applyBorder="1" applyAlignment="1">
      <alignment horizontal="center"/>
    </xf>
    <xf numFmtId="0" fontId="207" fillId="0" borderId="9" xfId="33" applyFont="1" applyBorder="1" applyAlignment="1">
      <alignment horizontal="center"/>
    </xf>
    <xf numFmtId="0" fontId="209" fillId="0" borderId="0" xfId="33" applyFont="1" applyAlignment="1">
      <alignment horizontal="center" wrapText="1"/>
    </xf>
    <xf numFmtId="0" fontId="207" fillId="28" borderId="128" xfId="33" applyFont="1" applyFill="1" applyBorder="1" applyAlignment="1">
      <alignment horizontal="center"/>
    </xf>
    <xf numFmtId="0" fontId="207" fillId="28" borderId="17" xfId="33" applyFont="1" applyFill="1" applyBorder="1" applyAlignment="1">
      <alignment horizontal="center"/>
    </xf>
    <xf numFmtId="0" fontId="207" fillId="28" borderId="18" xfId="33" applyFont="1" applyFill="1" applyBorder="1" applyAlignment="1">
      <alignment horizontal="center"/>
    </xf>
    <xf numFmtId="0" fontId="209"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3" fillId="13" borderId="145" xfId="33" applyNumberFormat="1" applyFont="1" applyFill="1" applyBorder="1" applyAlignment="1" applyProtection="1">
      <alignment horizontal="center" vertical="center"/>
      <protection locked="0"/>
    </xf>
    <xf numFmtId="182" fontId="213" fillId="13" borderId="128" xfId="33" applyNumberFormat="1" applyFont="1" applyFill="1" applyBorder="1" applyAlignment="1" applyProtection="1">
      <alignment horizontal="center" vertical="center"/>
      <protection locked="0"/>
    </xf>
    <xf numFmtId="183" fontId="213" fillId="13" borderId="128" xfId="33" applyNumberFormat="1" applyFont="1" applyFill="1" applyBorder="1" applyAlignment="1" applyProtection="1">
      <alignment horizontal="center" vertical="center"/>
      <protection locked="0"/>
    </xf>
    <xf numFmtId="182" fontId="213" fillId="13" borderId="146" xfId="33" applyNumberFormat="1" applyFont="1" applyFill="1" applyBorder="1" applyAlignment="1" applyProtection="1">
      <alignment horizontal="center" vertical="center"/>
      <protection locked="0"/>
    </xf>
    <xf numFmtId="182" fontId="213" fillId="13" borderId="17" xfId="33" applyNumberFormat="1" applyFont="1" applyFill="1" applyBorder="1" applyAlignment="1" applyProtection="1">
      <alignment horizontal="center" vertical="center"/>
      <protection locked="0"/>
    </xf>
    <xf numFmtId="183" fontId="213" fillId="13" borderId="17" xfId="33" applyNumberFormat="1" applyFont="1" applyFill="1" applyBorder="1" applyAlignment="1" applyProtection="1">
      <alignment horizontal="center" vertical="center"/>
      <protection locked="0"/>
    </xf>
    <xf numFmtId="182" fontId="213" fillId="13" borderId="147" xfId="33" applyNumberFormat="1" applyFont="1" applyFill="1" applyBorder="1" applyAlignment="1" applyProtection="1">
      <alignment horizontal="center" vertical="center"/>
      <protection locked="0"/>
    </xf>
    <xf numFmtId="182" fontId="213" fillId="13" borderId="18" xfId="33" applyNumberFormat="1" applyFont="1" applyFill="1" applyBorder="1" applyAlignment="1" applyProtection="1">
      <alignment horizontal="center" vertical="center"/>
      <protection locked="0"/>
    </xf>
    <xf numFmtId="183" fontId="213"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7"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18" fillId="0" borderId="166" xfId="0" applyNumberFormat="1" applyFont="1" applyBorder="1" applyAlignment="1">
      <alignment horizontal="center" vertical="center"/>
    </xf>
    <xf numFmtId="3" fontId="218" fillId="0" borderId="167" xfId="0" applyNumberFormat="1" applyFont="1" applyBorder="1" applyAlignment="1">
      <alignment horizontal="center" vertical="center"/>
    </xf>
    <xf numFmtId="3" fontId="219" fillId="0" borderId="168" xfId="0" applyNumberFormat="1" applyFont="1" applyBorder="1" applyAlignment="1">
      <alignment horizontal="center" vertical="center"/>
    </xf>
    <xf numFmtId="3" fontId="219" fillId="0" borderId="162" xfId="0" applyNumberFormat="1" applyFont="1" applyBorder="1" applyAlignment="1">
      <alignment horizontal="center" vertical="center"/>
    </xf>
    <xf numFmtId="3" fontId="219" fillId="0" borderId="169" xfId="0" applyNumberFormat="1" applyFont="1" applyBorder="1" applyAlignment="1">
      <alignment horizontal="center" vertical="center"/>
    </xf>
    <xf numFmtId="3" fontId="219"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3"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3" fillId="10" borderId="145" xfId="33" applyNumberFormat="1" applyFont="1" applyFill="1" applyBorder="1" applyAlignment="1" applyProtection="1">
      <alignment horizontal="center" vertical="center"/>
      <protection locked="0"/>
    </xf>
    <xf numFmtId="182" fontId="213" fillId="10" borderId="128" xfId="33" applyNumberFormat="1" applyFont="1" applyFill="1" applyBorder="1" applyAlignment="1" applyProtection="1">
      <alignment horizontal="center" vertical="center"/>
      <protection locked="0"/>
    </xf>
    <xf numFmtId="183" fontId="213" fillId="10" borderId="128" xfId="33" applyNumberFormat="1" applyFont="1" applyFill="1" applyBorder="1" applyAlignment="1" applyProtection="1">
      <alignment horizontal="center" vertical="center"/>
      <protection locked="0"/>
    </xf>
    <xf numFmtId="182" fontId="213" fillId="10" borderId="146" xfId="33" applyNumberFormat="1" applyFont="1" applyFill="1" applyBorder="1" applyAlignment="1" applyProtection="1">
      <alignment horizontal="center" vertical="center"/>
      <protection locked="0"/>
    </xf>
    <xf numFmtId="182" fontId="213" fillId="10" borderId="17" xfId="33" applyNumberFormat="1" applyFont="1" applyFill="1" applyBorder="1" applyAlignment="1" applyProtection="1">
      <alignment horizontal="center" vertical="center"/>
      <protection locked="0"/>
    </xf>
    <xf numFmtId="183" fontId="213" fillId="10" borderId="17" xfId="33" applyNumberFormat="1" applyFont="1" applyFill="1" applyBorder="1" applyAlignment="1" applyProtection="1">
      <alignment horizontal="center" vertical="center"/>
      <protection locked="0"/>
    </xf>
    <xf numFmtId="182" fontId="213" fillId="10" borderId="147" xfId="33" applyNumberFormat="1" applyFont="1" applyFill="1" applyBorder="1" applyAlignment="1" applyProtection="1">
      <alignment horizontal="center" vertical="center"/>
      <protection locked="0"/>
    </xf>
    <xf numFmtId="182" fontId="213" fillId="10" borderId="18" xfId="33" applyNumberFormat="1" applyFont="1" applyFill="1" applyBorder="1" applyAlignment="1" applyProtection="1">
      <alignment horizontal="center" vertical="center"/>
      <protection locked="0"/>
    </xf>
    <xf numFmtId="183" fontId="213" fillId="10" borderId="18" xfId="33" applyNumberFormat="1" applyFont="1" applyFill="1" applyBorder="1" applyAlignment="1" applyProtection="1">
      <alignment horizontal="center" vertical="center"/>
      <protection locked="0"/>
    </xf>
    <xf numFmtId="0" fontId="207" fillId="0" borderId="83" xfId="33" applyFont="1" applyBorder="1" applyAlignment="1">
      <alignment horizontal="center" vertical="center"/>
    </xf>
    <xf numFmtId="0" fontId="207" fillId="0" borderId="81" xfId="33" applyFont="1" applyBorder="1" applyAlignment="1">
      <alignment horizontal="center" vertical="center"/>
    </xf>
    <xf numFmtId="0" fontId="207" fillId="0" borderId="11" xfId="33" applyFont="1" applyBorder="1" applyAlignment="1">
      <alignment horizontal="center" vertical="center"/>
    </xf>
    <xf numFmtId="0" fontId="207"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4"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5"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5"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6"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29" fillId="20" borderId="0" xfId="0" applyFont="1" applyFill="1"/>
    <xf numFmtId="0" fontId="229"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5"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7"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2"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6"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7" fillId="0" borderId="0" xfId="0" applyFont="1" applyAlignment="1">
      <alignment horizontal="center"/>
    </xf>
    <xf numFmtId="0" fontId="92" fillId="0" borderId="0" xfId="0" applyFont="1" applyAlignment="1">
      <alignment horizontal="left" vertical="center"/>
    </xf>
    <xf numFmtId="0" fontId="238" fillId="0" borderId="0" xfId="0" applyFont="1"/>
    <xf numFmtId="0" fontId="237"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5"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5"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0"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39"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2" fillId="0" borderId="0" xfId="0" applyFont="1" applyAlignment="1">
      <alignment horizontal="left" vertical="center"/>
    </xf>
    <xf numFmtId="0" fontId="103" fillId="0" borderId="0" xfId="0" applyFont="1" applyAlignment="1">
      <alignment vertical="top" wrapText="1"/>
    </xf>
    <xf numFmtId="38" fontId="178"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6" fillId="0" borderId="0" xfId="0" applyFont="1" applyAlignment="1">
      <alignment horizontal="right" vertical="center"/>
    </xf>
    <xf numFmtId="0" fontId="184"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49"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49"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49"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7"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7"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25" fillId="0" borderId="0" xfId="37" applyFont="1" applyAlignment="1">
      <alignment horizontal="center"/>
    </xf>
    <xf numFmtId="0" fontId="247" fillId="0" borderId="0" xfId="37" applyFont="1" applyAlignment="1">
      <alignment horizontal="left" vertical="center"/>
    </xf>
    <xf numFmtId="0" fontId="254"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7"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4" fillId="0" borderId="0" xfId="33" applyFont="1" applyProtection="1">
      <protection locked="0"/>
    </xf>
    <xf numFmtId="0" fontId="249" fillId="0" borderId="0" xfId="33" applyFont="1" applyProtection="1">
      <protection locked="0"/>
    </xf>
    <xf numFmtId="0" fontId="249" fillId="0" borderId="0" xfId="33" applyFont="1" applyAlignment="1" applyProtection="1">
      <alignment vertical="center"/>
      <protection locked="0"/>
    </xf>
    <xf numFmtId="0" fontId="249" fillId="0" borderId="0" xfId="33" applyFont="1" applyAlignment="1" applyProtection="1">
      <alignment vertical="top"/>
      <protection locked="0"/>
    </xf>
    <xf numFmtId="0" fontId="249"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0" fillId="0" borderId="0" xfId="0" applyFont="1" applyAlignment="1">
      <alignment horizontal="center"/>
    </xf>
    <xf numFmtId="0" fontId="25" fillId="13" borderId="12" xfId="33" applyFont="1" applyFill="1" applyBorder="1" applyAlignment="1">
      <alignment horizontal="center" vertical="center"/>
    </xf>
    <xf numFmtId="0" fontId="226"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5"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applyFont="1" applyAlignment="1">
      <alignment wrapText="1"/>
    </xf>
    <xf numFmtId="0" fontId="264" fillId="0" borderId="84" xfId="37" applyFont="1" applyBorder="1" applyAlignment="1">
      <alignment horizontal="center" vertical="center"/>
    </xf>
    <xf numFmtId="0" fontId="262"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6"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0" fillId="0" borderId="0" xfId="37" applyFont="1" applyAlignment="1">
      <alignment horizontal="left" vertical="center"/>
    </xf>
    <xf numFmtId="0" fontId="256"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6"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0"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6" fillId="0" borderId="0" xfId="37" applyFont="1" applyAlignment="1">
      <alignment horizontal="center" vertical="top"/>
    </xf>
    <xf numFmtId="0" fontId="256"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7"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0"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7"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0"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6"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0" fillId="0" borderId="0" xfId="37" quotePrefix="1" applyFont="1"/>
    <xf numFmtId="0" fontId="250"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7" fillId="0" borderId="83" xfId="37" applyNumberFormat="1" applyFont="1" applyBorder="1" applyAlignment="1">
      <alignment horizontal="center" vertical="center"/>
    </xf>
    <xf numFmtId="0" fontId="261"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58"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58"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5" fillId="0" borderId="0" xfId="37" applyFont="1" applyAlignment="1">
      <alignment horizontal="right" vertical="center"/>
    </xf>
    <xf numFmtId="0" fontId="251" fillId="0" borderId="0" xfId="37" applyFont="1"/>
    <xf numFmtId="0" fontId="259"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0" fillId="0" borderId="19" xfId="37" applyFont="1" applyBorder="1" applyAlignment="1">
      <alignment vertical="center"/>
    </xf>
    <xf numFmtId="0" fontId="9" fillId="0" borderId="19" xfId="37" applyFont="1" applyBorder="1" applyAlignment="1">
      <alignment vertical="center"/>
    </xf>
    <xf numFmtId="0" fontId="257" fillId="0" borderId="58" xfId="37" applyFont="1" applyBorder="1" applyAlignment="1">
      <alignment horizontal="center" vertical="center"/>
    </xf>
    <xf numFmtId="0" fontId="263"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4" fillId="0" borderId="0" xfId="37" applyNumberFormat="1" applyFont="1" applyAlignment="1">
      <alignment horizontal="center" vertical="center"/>
    </xf>
    <xf numFmtId="181" fontId="262" fillId="0" borderId="0" xfId="37" applyNumberFormat="1" applyFont="1" applyAlignment="1">
      <alignment horizontal="center" vertical="center"/>
    </xf>
    <xf numFmtId="0" fontId="134" fillId="0" borderId="41" xfId="37" applyFont="1" applyBorder="1" applyAlignment="1">
      <alignment horizontal="right" vertical="center"/>
    </xf>
    <xf numFmtId="38" fontId="264" fillId="0" borderId="0" xfId="37" applyNumberFormat="1" applyFont="1" applyAlignment="1">
      <alignment horizontal="center" vertical="center"/>
    </xf>
    <xf numFmtId="38" fontId="262" fillId="0" borderId="0" xfId="37" applyNumberFormat="1" applyFont="1" applyAlignment="1">
      <alignment horizontal="center" vertical="center"/>
    </xf>
    <xf numFmtId="0" fontId="9" fillId="0" borderId="42" xfId="37" applyFont="1" applyBorder="1" applyAlignment="1">
      <alignment vertical="center"/>
    </xf>
    <xf numFmtId="0" fontId="250"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68"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2" fillId="0" borderId="0" xfId="37" applyFont="1"/>
    <xf numFmtId="9" fontId="267" fillId="0" borderId="13" xfId="37" applyNumberFormat="1" applyFont="1" applyBorder="1" applyAlignment="1">
      <alignment horizontal="center" vertical="center" wrapText="1"/>
    </xf>
    <xf numFmtId="9" fontId="266" fillId="0" borderId="13" xfId="37" applyNumberFormat="1" applyFont="1" applyBorder="1" applyAlignment="1">
      <alignment horizontal="center" vertical="center" wrapText="1"/>
    </xf>
    <xf numFmtId="0" fontId="9" fillId="0" borderId="20" xfId="37" applyFont="1" applyBorder="1"/>
    <xf numFmtId="38" fontId="257" fillId="0" borderId="93" xfId="37" applyNumberFormat="1" applyFont="1" applyBorder="1" applyAlignment="1">
      <alignment horizontal="center" vertical="center" wrapText="1"/>
    </xf>
    <xf numFmtId="38" fontId="257" fillId="0" borderId="92" xfId="37" applyNumberFormat="1" applyFont="1" applyBorder="1" applyAlignment="1">
      <alignment horizontal="center" vertical="center" wrapText="1"/>
    </xf>
    <xf numFmtId="38" fontId="257" fillId="0" borderId="133" xfId="37" applyNumberFormat="1" applyFont="1" applyBorder="1" applyAlignment="1">
      <alignment horizontal="center" vertical="center" wrapText="1"/>
    </xf>
    <xf numFmtId="38" fontId="257" fillId="0" borderId="190" xfId="37" applyNumberFormat="1" applyFont="1" applyBorder="1" applyAlignment="1">
      <alignment horizontal="center" vertical="center" wrapText="1"/>
    </xf>
    <xf numFmtId="38" fontId="263" fillId="0" borderId="187" xfId="37" applyNumberFormat="1" applyFont="1" applyBorder="1" applyAlignment="1">
      <alignment horizontal="center" vertical="center" wrapText="1"/>
    </xf>
    <xf numFmtId="38" fontId="263" fillId="0" borderId="178" xfId="37" applyNumberFormat="1" applyFont="1" applyBorder="1" applyAlignment="1">
      <alignment horizontal="center" vertical="center" wrapText="1"/>
    </xf>
    <xf numFmtId="38" fontId="263" fillId="0" borderId="133" xfId="37" applyNumberFormat="1" applyFont="1" applyBorder="1" applyAlignment="1">
      <alignment horizontal="center" vertical="center" wrapText="1"/>
    </xf>
    <xf numFmtId="0" fontId="9" fillId="0" borderId="21" xfId="37" applyFont="1" applyBorder="1" applyAlignment="1">
      <alignment vertical="center"/>
    </xf>
    <xf numFmtId="38" fontId="257" fillId="0" borderId="50" xfId="37" applyNumberFormat="1" applyFont="1" applyBorder="1" applyAlignment="1">
      <alignment horizontal="center" vertical="center" wrapText="1"/>
    </xf>
    <xf numFmtId="38" fontId="257" fillId="0" borderId="191" xfId="37" applyNumberFormat="1" applyFont="1" applyBorder="1" applyAlignment="1">
      <alignment horizontal="center" vertical="center" wrapText="1"/>
    </xf>
    <xf numFmtId="38" fontId="263" fillId="0" borderId="188" xfId="37" applyNumberFormat="1" applyFont="1" applyBorder="1" applyAlignment="1">
      <alignment horizontal="center" vertical="center" wrapText="1"/>
    </xf>
    <xf numFmtId="38" fontId="263" fillId="0" borderId="25" xfId="37" applyNumberFormat="1" applyFont="1" applyBorder="1" applyAlignment="1">
      <alignment horizontal="center" vertical="center" wrapText="1"/>
    </xf>
    <xf numFmtId="38" fontId="263"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7" fillId="0" borderId="25" xfId="37" applyNumberFormat="1" applyFont="1" applyBorder="1" applyAlignment="1">
      <alignment horizontal="center" vertical="center" wrapText="1"/>
    </xf>
    <xf numFmtId="181" fontId="257" fillId="0" borderId="50" xfId="37" applyNumberFormat="1" applyFont="1" applyBorder="1" applyAlignment="1">
      <alignment horizontal="center" vertical="center" wrapText="1"/>
    </xf>
    <xf numFmtId="181" fontId="257" fillId="0" borderId="25" xfId="37" applyNumberFormat="1" applyFont="1" applyBorder="1" applyAlignment="1">
      <alignment horizontal="center" vertical="center" wrapText="1"/>
    </xf>
    <xf numFmtId="0" fontId="257" fillId="0" borderId="50" xfId="37" applyFont="1" applyBorder="1" applyAlignment="1">
      <alignment horizontal="center" vertical="center" wrapText="1"/>
    </xf>
    <xf numFmtId="0" fontId="257" fillId="0" borderId="191" xfId="37" applyFont="1" applyBorder="1" applyAlignment="1">
      <alignment horizontal="center" vertical="center" wrapText="1"/>
    </xf>
    <xf numFmtId="181" fontId="263" fillId="0" borderId="188" xfId="37" applyNumberFormat="1" applyFont="1" applyBorder="1" applyAlignment="1">
      <alignment horizontal="center" vertical="center" wrapText="1"/>
    </xf>
    <xf numFmtId="181" fontId="263" fillId="0" borderId="25" xfId="37" applyNumberFormat="1" applyFont="1" applyBorder="1" applyAlignment="1">
      <alignment horizontal="center" vertical="center" wrapText="1"/>
    </xf>
    <xf numFmtId="0" fontId="263" fillId="0" borderId="50" xfId="37" applyFont="1" applyBorder="1" applyAlignment="1">
      <alignment horizontal="center" vertical="center" wrapText="1"/>
    </xf>
    <xf numFmtId="0" fontId="263" fillId="0" borderId="25" xfId="37" applyFont="1" applyBorder="1" applyAlignment="1">
      <alignment horizontal="center" vertical="center" wrapText="1"/>
    </xf>
    <xf numFmtId="0" fontId="257" fillId="0" borderId="25" xfId="37" applyFont="1" applyBorder="1" applyAlignment="1">
      <alignment horizontal="center" vertical="center" wrapText="1"/>
    </xf>
    <xf numFmtId="0" fontId="9" fillId="0" borderId="7" xfId="37" applyFont="1" applyBorder="1" applyAlignment="1">
      <alignment vertical="center"/>
    </xf>
    <xf numFmtId="181" fontId="257" fillId="28" borderId="50" xfId="37" applyNumberFormat="1" applyFont="1" applyFill="1" applyBorder="1" applyAlignment="1">
      <alignment horizontal="center" vertical="center" wrapText="1"/>
    </xf>
    <xf numFmtId="181" fontId="257" fillId="28" borderId="191" xfId="37" applyNumberFormat="1" applyFont="1" applyFill="1" applyBorder="1" applyAlignment="1">
      <alignment horizontal="center" vertical="center" wrapText="1"/>
    </xf>
    <xf numFmtId="181" fontId="263" fillId="28" borderId="50" xfId="37" applyNumberFormat="1" applyFont="1" applyFill="1" applyBorder="1" applyAlignment="1">
      <alignment horizontal="center" vertical="center" wrapText="1"/>
    </xf>
    <xf numFmtId="181" fontId="263" fillId="28" borderId="25" xfId="37" applyNumberFormat="1" applyFont="1" applyFill="1" applyBorder="1" applyAlignment="1">
      <alignment horizontal="center" vertical="center" wrapText="1"/>
    </xf>
    <xf numFmtId="38" fontId="257" fillId="28" borderId="50" xfId="37" applyNumberFormat="1" applyFont="1" applyFill="1" applyBorder="1" applyAlignment="1">
      <alignment horizontal="center" vertical="center" wrapText="1"/>
    </xf>
    <xf numFmtId="38" fontId="257" fillId="28" borderId="191" xfId="37" applyNumberFormat="1" applyFont="1" applyFill="1" applyBorder="1" applyAlignment="1">
      <alignment horizontal="center" vertical="center" wrapText="1"/>
    </xf>
    <xf numFmtId="38" fontId="263" fillId="28" borderId="50" xfId="37" applyNumberFormat="1" applyFont="1" applyFill="1" applyBorder="1" applyAlignment="1">
      <alignment horizontal="center" vertical="center" wrapText="1"/>
    </xf>
    <xf numFmtId="38" fontId="263" fillId="28" borderId="25" xfId="37" applyNumberFormat="1" applyFont="1" applyFill="1" applyBorder="1" applyAlignment="1">
      <alignment horizontal="center" vertical="center" wrapText="1"/>
    </xf>
    <xf numFmtId="0" fontId="257" fillId="28" borderId="25" xfId="37" applyFont="1" applyFill="1" applyBorder="1" applyAlignment="1">
      <alignment horizontal="center" vertical="center" wrapText="1"/>
    </xf>
    <xf numFmtId="0" fontId="257" fillId="28" borderId="50" xfId="37" applyFont="1" applyFill="1" applyBorder="1" applyAlignment="1">
      <alignment horizontal="center" vertical="center" wrapText="1"/>
    </xf>
    <xf numFmtId="0" fontId="263" fillId="28" borderId="25" xfId="37" applyFont="1" applyFill="1" applyBorder="1" applyAlignment="1">
      <alignment horizontal="center" vertical="center" wrapText="1"/>
    </xf>
    <xf numFmtId="0" fontId="263" fillId="28" borderId="50" xfId="37" applyFont="1" applyFill="1" applyBorder="1" applyAlignment="1">
      <alignment horizontal="center" vertical="center" wrapText="1"/>
    </xf>
    <xf numFmtId="38" fontId="257" fillId="28" borderId="25" xfId="37" applyNumberFormat="1" applyFont="1" applyFill="1" applyBorder="1" applyAlignment="1">
      <alignment horizontal="center" vertical="center" wrapText="1"/>
    </xf>
    <xf numFmtId="0" fontId="263"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7" fillId="0" borderId="48" xfId="37" applyFont="1" applyBorder="1" applyAlignment="1">
      <alignment horizontal="center" vertical="center" wrapText="1"/>
    </xf>
    <xf numFmtId="38" fontId="257" fillId="0" borderId="87" xfId="37" applyNumberFormat="1" applyFont="1" applyBorder="1" applyAlignment="1">
      <alignment horizontal="center" vertical="center" wrapText="1"/>
    </xf>
    <xf numFmtId="38" fontId="257" fillId="0" borderId="48" xfId="37" applyNumberFormat="1" applyFont="1" applyBorder="1" applyAlignment="1">
      <alignment horizontal="center" vertical="center" wrapText="1"/>
    </xf>
    <xf numFmtId="38" fontId="257" fillId="0" borderId="192" xfId="37" applyNumberFormat="1" applyFont="1" applyBorder="1" applyAlignment="1">
      <alignment horizontal="center" vertical="center" wrapText="1"/>
    </xf>
    <xf numFmtId="0" fontId="263" fillId="0" borderId="189" xfId="37" applyFont="1" applyBorder="1" applyAlignment="1">
      <alignment horizontal="center" vertical="center" wrapText="1"/>
    </xf>
    <xf numFmtId="38" fontId="263" fillId="0" borderId="24" xfId="37" applyNumberFormat="1" applyFont="1" applyBorder="1" applyAlignment="1">
      <alignment horizontal="center" vertical="center" wrapText="1"/>
    </xf>
    <xf numFmtId="38" fontId="263" fillId="0" borderId="48" xfId="37" applyNumberFormat="1" applyFont="1" applyBorder="1" applyAlignment="1">
      <alignment horizontal="center" vertical="center" wrapText="1"/>
    </xf>
    <xf numFmtId="0" fontId="264" fillId="0" borderId="0" xfId="37" applyFont="1" applyAlignment="1">
      <alignment vertical="center"/>
    </xf>
    <xf numFmtId="0" fontId="262" fillId="0" borderId="0" xfId="37" applyFont="1" applyAlignment="1">
      <alignment vertical="center"/>
    </xf>
    <xf numFmtId="186" fontId="257" fillId="0" borderId="0" xfId="37" applyNumberFormat="1" applyFont="1" applyAlignment="1">
      <alignment horizontal="center" vertical="center"/>
    </xf>
    <xf numFmtId="186" fontId="263"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0"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0"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0"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4" fillId="0" borderId="0" xfId="37" applyNumberFormat="1" applyFont="1" applyAlignment="1">
      <alignment horizontal="center" vertical="center"/>
    </xf>
    <xf numFmtId="186" fontId="262"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4" fillId="0" borderId="20" xfId="37" applyNumberFormat="1" applyFont="1" applyBorder="1" applyAlignment="1">
      <alignment horizontal="center" vertical="center"/>
    </xf>
    <xf numFmtId="38" fontId="262"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4" fillId="0" borderId="38" xfId="37" applyNumberFormat="1" applyFont="1" applyBorder="1" applyAlignment="1">
      <alignment horizontal="center" vertical="center"/>
    </xf>
    <xf numFmtId="181" fontId="262"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4" fillId="0" borderId="0" xfId="37" quotePrefix="1" applyFont="1" applyAlignment="1">
      <alignment vertical="center"/>
    </xf>
    <xf numFmtId="0" fontId="254" fillId="0" borderId="0" xfId="37" applyFont="1" applyAlignment="1">
      <alignment vertical="center"/>
    </xf>
    <xf numFmtId="9" fontId="270" fillId="0" borderId="0" xfId="37" applyNumberFormat="1" applyFont="1" applyAlignment="1">
      <alignment horizontal="center" vertical="center" wrapText="1"/>
    </xf>
    <xf numFmtId="0" fontId="247" fillId="0" borderId="0" xfId="37" applyFont="1" applyAlignment="1">
      <alignment horizontal="right" vertical="center"/>
    </xf>
    <xf numFmtId="0" fontId="247" fillId="0" borderId="0" xfId="37" applyFont="1" applyAlignment="1">
      <alignment horizontal="center" vertical="center" wrapText="1"/>
    </xf>
    <xf numFmtId="0" fontId="225" fillId="0" borderId="0" xfId="37" applyFont="1" applyAlignment="1">
      <alignment horizontal="center" vertical="center"/>
    </xf>
    <xf numFmtId="38" fontId="247" fillId="0" borderId="0" xfId="37" applyNumberFormat="1" applyFont="1" applyAlignment="1">
      <alignment horizontal="center" vertical="center" wrapText="1"/>
    </xf>
    <xf numFmtId="183" fontId="247" fillId="0" borderId="0" xfId="37" applyNumberFormat="1" applyFont="1" applyAlignment="1">
      <alignment horizontal="center" vertical="center" wrapText="1"/>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0" fontId="229" fillId="0" borderId="0" xfId="0" applyFont="1"/>
    <xf numFmtId="0" fontId="229" fillId="0" borderId="0" xfId="0" applyFont="1" applyAlignment="1">
      <alignment vertical="center"/>
    </xf>
    <xf numFmtId="0" fontId="86" fillId="0" borderId="0" xfId="0" applyFont="1" applyAlignment="1">
      <alignment vertical="center"/>
    </xf>
    <xf numFmtId="0" fontId="230" fillId="0" borderId="0" xfId="0" applyFont="1" applyAlignment="1">
      <alignment vertical="center" wrapText="1"/>
    </xf>
    <xf numFmtId="0" fontId="129" fillId="20" borderId="0" xfId="13" applyFont="1" applyFill="1" applyAlignment="1">
      <alignment horizontal="center"/>
    </xf>
    <xf numFmtId="0" fontId="271"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4" fillId="0" borderId="0" xfId="33" applyFont="1" applyAlignment="1">
      <alignment vertical="center"/>
    </xf>
    <xf numFmtId="0" fontId="225" fillId="0" borderId="0" xfId="33" applyFont="1" applyAlignment="1">
      <alignment vertical="center"/>
    </xf>
    <xf numFmtId="0" fontId="249"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7" fillId="20" borderId="0" xfId="33" applyFont="1" applyFill="1" applyAlignment="1" applyProtection="1">
      <alignment horizontal="center"/>
      <protection locked="0"/>
    </xf>
    <xf numFmtId="1" fontId="247" fillId="20" borderId="0" xfId="37" applyNumberFormat="1" applyFont="1" applyFill="1" applyAlignment="1">
      <alignment horizontal="center"/>
    </xf>
    <xf numFmtId="1" fontId="247" fillId="20" borderId="0" xfId="37" applyNumberFormat="1" applyFont="1" applyFill="1" applyAlignment="1">
      <alignment horizontal="center" vertical="center"/>
    </xf>
    <xf numFmtId="0" fontId="247"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5" fillId="0" borderId="0" xfId="0" applyNumberFormat="1" applyFont="1" applyAlignment="1">
      <alignment vertical="center"/>
    </xf>
    <xf numFmtId="0" fontId="225" fillId="0" borderId="0" xfId="0" applyFont="1" applyAlignment="1">
      <alignment vertical="center"/>
    </xf>
    <xf numFmtId="0" fontId="229"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5" fillId="0" borderId="0" xfId="33" applyFont="1" applyAlignment="1">
      <alignment horizontal="right" vertical="top"/>
    </xf>
    <xf numFmtId="0" fontId="247" fillId="0" borderId="0" xfId="33" applyFont="1" applyAlignment="1">
      <alignment horizontal="left" vertical="top"/>
    </xf>
    <xf numFmtId="0" fontId="229"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29" fillId="0" borderId="0" xfId="0" applyFont="1" applyAlignment="1">
      <alignment vertical="top"/>
    </xf>
    <xf numFmtId="49" fontId="279"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29"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9" fillId="0" borderId="0" xfId="0" applyFont="1" applyAlignment="1">
      <alignment vertical="top"/>
    </xf>
    <xf numFmtId="164" fontId="85" fillId="0" borderId="0" xfId="1" applyNumberFormat="1" applyFont="1" applyFill="1" applyBorder="1" applyAlignment="1" applyProtection="1">
      <alignment vertical="center"/>
    </xf>
    <xf numFmtId="0" fontId="282" fillId="0" borderId="0" xfId="0" applyFont="1" applyAlignment="1">
      <alignment horizontal="center" vertical="center"/>
    </xf>
    <xf numFmtId="0" fontId="275"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5"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29" fillId="0" borderId="0" xfId="0" applyNumberFormat="1" applyFont="1" applyAlignment="1">
      <alignment horizontal="center" vertical="center"/>
    </xf>
    <xf numFmtId="37" fontId="229"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4" fontId="283" fillId="0" borderId="0" xfId="1" applyNumberFormat="1" applyFont="1" applyFill="1" applyBorder="1" applyAlignment="1" applyProtection="1">
      <alignment horizontal="right" vertical="center"/>
    </xf>
    <xf numFmtId="171" fontId="285" fillId="0" borderId="0" xfId="0" applyNumberFormat="1" applyFont="1" applyAlignment="1">
      <alignment horizontal="left" vertical="center"/>
    </xf>
    <xf numFmtId="4" fontId="283" fillId="0" borderId="0" xfId="1" applyNumberFormat="1" applyFont="1" applyFill="1" applyBorder="1" applyAlignment="1" applyProtection="1">
      <alignment vertical="center"/>
    </xf>
    <xf numFmtId="171" fontId="285" fillId="0" borderId="0" xfId="0" applyNumberFormat="1" applyFont="1" applyAlignment="1">
      <alignment vertical="center"/>
    </xf>
    <xf numFmtId="0" fontId="285" fillId="0" borderId="0" xfId="0" applyFont="1" applyAlignment="1">
      <alignment vertical="center"/>
    </xf>
    <xf numFmtId="0" fontId="276"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164" fontId="101" fillId="0" borderId="0" xfId="1" applyNumberFormat="1" applyFont="1" applyFill="1" applyBorder="1" applyAlignment="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5"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5"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79" fillId="0" borderId="0" xfId="0" applyFont="1" applyAlignment="1">
      <alignment vertical="center"/>
    </xf>
    <xf numFmtId="0" fontId="287" fillId="0" borderId="0" xfId="0" applyFont="1" applyAlignment="1">
      <alignment horizontal="left" vertical="center"/>
    </xf>
    <xf numFmtId="38" fontId="229" fillId="0" borderId="0" xfId="0" applyNumberFormat="1" applyFont="1" applyAlignment="1">
      <alignment vertical="center"/>
    </xf>
    <xf numFmtId="164" fontId="229"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0" fillId="0" borderId="0" xfId="13" applyFont="1" applyAlignment="1">
      <alignment vertical="center"/>
    </xf>
    <xf numFmtId="0" fontId="82" fillId="0" borderId="0" xfId="13" applyFont="1" applyAlignment="1">
      <alignment vertical="center"/>
    </xf>
    <xf numFmtId="0" fontId="91" fillId="0" borderId="0" xfId="13" applyFont="1"/>
    <xf numFmtId="0" fontId="247" fillId="0" borderId="0" xfId="13" applyFont="1" applyAlignment="1">
      <alignment vertical="top"/>
    </xf>
    <xf numFmtId="0" fontId="82" fillId="0" borderId="0" xfId="13" applyFont="1" applyAlignment="1">
      <alignment vertical="top"/>
    </xf>
    <xf numFmtId="0" fontId="290"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29"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5"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4" fillId="0" borderId="0" xfId="0" applyFont="1" applyAlignment="1">
      <alignment horizontal="left" vertical="center"/>
    </xf>
    <xf numFmtId="3" fontId="94" fillId="0" borderId="0" xfId="0" applyNumberFormat="1" applyFont="1" applyAlignment="1">
      <alignment vertical="top"/>
    </xf>
    <xf numFmtId="0" fontId="224" fillId="0" borderId="0" xfId="0" applyFont="1"/>
    <xf numFmtId="0" fontId="224" fillId="0" borderId="0" xfId="0" applyFont="1" applyAlignment="1">
      <alignment horizontal="center"/>
    </xf>
    <xf numFmtId="0" fontId="224" fillId="0" borderId="0" xfId="0" applyFont="1" applyAlignment="1">
      <alignment textRotation="90"/>
    </xf>
    <xf numFmtId="0" fontId="94" fillId="0" borderId="0" xfId="24" applyFont="1" applyAlignment="1">
      <alignment vertical="top"/>
    </xf>
    <xf numFmtId="0" fontId="224" fillId="0" borderId="0" xfId="0" applyFont="1" applyAlignment="1">
      <alignment horizontal="center" vertical="center"/>
    </xf>
    <xf numFmtId="49" fontId="82" fillId="0" borderId="0" xfId="0" quotePrefix="1" applyNumberFormat="1" applyFont="1" applyAlignment="1">
      <alignment vertical="center"/>
    </xf>
    <xf numFmtId="0" fontId="237"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3" fillId="0" borderId="0" xfId="0" applyFont="1" applyAlignment="1">
      <alignment vertical="center"/>
    </xf>
    <xf numFmtId="0" fontId="296" fillId="0" borderId="0" xfId="0" applyFont="1" applyAlignment="1">
      <alignment horizontal="center" vertical="center"/>
    </xf>
    <xf numFmtId="0" fontId="287"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7" fillId="0" borderId="0" xfId="0" applyFont="1" applyAlignment="1">
      <alignment vertical="center"/>
    </xf>
    <xf numFmtId="0" fontId="224"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4" fillId="0" borderId="0" xfId="0" applyNumberFormat="1" applyFont="1" applyAlignment="1">
      <alignment vertical="top"/>
    </xf>
    <xf numFmtId="0" fontId="282"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xf>
    <xf numFmtId="38" fontId="91" fillId="0" borderId="0" xfId="1" applyNumberFormat="1" applyFont="1" applyFill="1" applyBorder="1" applyAlignment="1" applyProtection="1">
      <alignment horizontal="right" vertical="center"/>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4"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1" fillId="0" borderId="0" xfId="0" applyFont="1" applyAlignment="1">
      <alignment horizontal="left" vertical="top"/>
    </xf>
    <xf numFmtId="38" fontId="248"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0" fontId="248" fillId="0" borderId="0" xfId="0" applyFont="1" applyAlignment="1">
      <alignment vertical="center"/>
    </xf>
    <xf numFmtId="38" fontId="248"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299" fillId="0" borderId="0" xfId="0" applyFont="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48"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1"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4"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0" fillId="0" borderId="0" xfId="0" applyFont="1" applyAlignment="1">
      <alignment vertical="center"/>
    </xf>
    <xf numFmtId="49" fontId="224"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48"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0" fillId="0" borderId="0" xfId="33" applyFont="1"/>
    <xf numFmtId="0" fontId="225" fillId="0" borderId="0" xfId="33" applyFont="1"/>
    <xf numFmtId="0" fontId="247" fillId="0" borderId="0" xfId="33" applyFont="1"/>
    <xf numFmtId="0" fontId="270" fillId="0" borderId="0" xfId="33" applyFont="1" applyAlignment="1">
      <alignment horizontal="left" vertical="top"/>
    </xf>
    <xf numFmtId="0" fontId="247" fillId="0" borderId="0" xfId="33" applyFont="1" applyAlignment="1">
      <alignment vertical="top"/>
    </xf>
    <xf numFmtId="0" fontId="225" fillId="0" borderId="0" xfId="33" applyFont="1" applyAlignment="1">
      <alignment horizontal="left" vertical="center"/>
    </xf>
    <xf numFmtId="0" fontId="225" fillId="0" borderId="0" xfId="33" applyFont="1" applyAlignment="1">
      <alignment horizontal="right" vertical="center"/>
    </xf>
    <xf numFmtId="0" fontId="270" fillId="0" borderId="0" xfId="33" applyFont="1" applyAlignment="1">
      <alignment vertical="center"/>
    </xf>
    <xf numFmtId="0" fontId="270"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left" vertical="top"/>
    </xf>
    <xf numFmtId="0" fontId="270" fillId="0" borderId="0" xfId="33" applyFont="1" applyAlignment="1">
      <alignment vertical="top"/>
    </xf>
    <xf numFmtId="0" fontId="247" fillId="0" borderId="0" xfId="33" applyFont="1" applyAlignment="1">
      <alignment horizontal="right" vertical="top"/>
    </xf>
    <xf numFmtId="0" fontId="225"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4" fillId="0" borderId="0" xfId="33" applyFont="1" applyAlignment="1">
      <alignment horizontal="left" vertical="center"/>
    </xf>
    <xf numFmtId="38" fontId="225" fillId="0" borderId="0" xfId="33" applyNumberFormat="1" applyFont="1" applyAlignment="1">
      <alignment horizontal="center" vertical="center"/>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30" fillId="0" borderId="0" xfId="33" applyFont="1" applyAlignment="1">
      <alignment horizontal="center" vertical="center"/>
    </xf>
    <xf numFmtId="0" fontId="247" fillId="0" borderId="0" xfId="33" applyFont="1" applyAlignment="1" applyProtection="1">
      <alignment vertical="center"/>
      <protection locked="0"/>
    </xf>
    <xf numFmtId="0" fontId="304" fillId="0" borderId="0" xfId="33" applyFont="1"/>
    <xf numFmtId="0" fontId="247" fillId="0" borderId="0" xfId="33" applyFont="1" applyAlignment="1">
      <alignment horizontal="justify" vertical="center"/>
    </xf>
    <xf numFmtId="3" fontId="247"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5" fillId="0" borderId="0" xfId="37" applyFont="1" applyAlignment="1">
      <alignment vertical="top"/>
    </xf>
    <xf numFmtId="1" fontId="247" fillId="0" borderId="0" xfId="37" applyNumberFormat="1" applyFont="1" applyAlignment="1">
      <alignment horizontal="left" vertical="center"/>
    </xf>
    <xf numFmtId="0" fontId="290" fillId="0" borderId="0" xfId="37" applyFont="1" applyAlignment="1">
      <alignment vertical="center"/>
    </xf>
    <xf numFmtId="49" fontId="225"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270" fillId="0" borderId="0" xfId="37" applyFont="1" applyAlignment="1">
      <alignment vertical="center"/>
    </xf>
    <xf numFmtId="0" fontId="237" fillId="0" borderId="0" xfId="37" applyFont="1"/>
    <xf numFmtId="0" fontId="247" fillId="0" borderId="0" xfId="37" applyFont="1" applyAlignment="1">
      <alignment horizontal="right"/>
    </xf>
    <xf numFmtId="0" fontId="254" fillId="0" borderId="0" xfId="37" applyFont="1" applyAlignment="1">
      <alignment horizontal="left" vertical="center"/>
    </xf>
    <xf numFmtId="0" fontId="254" fillId="0" borderId="0" xfId="37" applyFont="1" applyAlignment="1">
      <alignment horizontal="center" vertical="center"/>
    </xf>
    <xf numFmtId="0" fontId="254" fillId="0" borderId="0" xfId="37" applyFont="1" applyAlignment="1">
      <alignment horizontal="left" vertical="top"/>
    </xf>
    <xf numFmtId="0" fontId="225" fillId="0" borderId="0" xfId="37" applyFont="1" applyAlignment="1">
      <alignment horizontal="left" vertical="center"/>
    </xf>
    <xf numFmtId="0" fontId="225" fillId="0" borderId="0" xfId="37" quotePrefix="1" applyFont="1" applyAlignment="1">
      <alignment horizontal="left" vertical="center"/>
    </xf>
    <xf numFmtId="0" fontId="247" fillId="0" borderId="0" xfId="37" quotePrefix="1" applyFont="1" applyAlignment="1">
      <alignment horizontal="right" vertical="center"/>
    </xf>
    <xf numFmtId="0" fontId="225" fillId="0" borderId="0" xfId="37" quotePrefix="1" applyFont="1" applyAlignment="1">
      <alignment horizontal="left" vertical="top"/>
    </xf>
    <xf numFmtId="0" fontId="254" fillId="0" borderId="0" xfId="37" quotePrefix="1" applyFont="1" applyAlignment="1">
      <alignment horizontal="center" vertical="center"/>
    </xf>
    <xf numFmtId="0" fontId="225" fillId="0" borderId="0" xfId="37" applyFont="1" applyAlignment="1">
      <alignment horizontal="center" vertical="top"/>
    </xf>
    <xf numFmtId="0" fontId="247" fillId="0" borderId="0" xfId="37" applyFont="1" applyAlignment="1">
      <alignment horizontal="right" vertical="top"/>
    </xf>
    <xf numFmtId="0" fontId="254" fillId="0" borderId="0" xfId="37" applyFont="1" applyAlignment="1">
      <alignment horizontal="center" vertical="top"/>
    </xf>
    <xf numFmtId="0" fontId="254" fillId="0" borderId="0" xfId="37" applyFont="1" applyAlignment="1">
      <alignment vertical="top"/>
    </xf>
    <xf numFmtId="0" fontId="270" fillId="0" borderId="0" xfId="37" applyFont="1" applyAlignment="1">
      <alignment vertical="top"/>
    </xf>
    <xf numFmtId="0" fontId="270" fillId="0" borderId="0" xfId="37" applyFont="1" applyAlignment="1">
      <alignment horizontal="left"/>
    </xf>
    <xf numFmtId="0" fontId="247" fillId="0" borderId="0" xfId="37" quotePrefix="1" applyFont="1"/>
    <xf numFmtId="0" fontId="91" fillId="0" borderId="0" xfId="37" applyFont="1"/>
    <xf numFmtId="0" fontId="247" fillId="0" borderId="0" xfId="37" quotePrefix="1" applyFont="1" applyAlignment="1">
      <alignment vertical="center"/>
    </xf>
    <xf numFmtId="0" fontId="225" fillId="0" borderId="0" xfId="37" applyFont="1" applyAlignment="1">
      <alignment horizontal="left" vertical="top"/>
    </xf>
    <xf numFmtId="0" fontId="254" fillId="0" borderId="0" xfId="37" quotePrefix="1" applyFont="1" applyAlignment="1">
      <alignment vertical="top"/>
    </xf>
    <xf numFmtId="0" fontId="225" fillId="0" borderId="0" xfId="37" applyFont="1" applyAlignment="1">
      <alignment horizontal="right"/>
    </xf>
    <xf numFmtId="0" fontId="225" fillId="0" borderId="0" xfId="37" quotePrefix="1" applyFont="1" applyAlignment="1">
      <alignment horizontal="center" vertical="center"/>
    </xf>
    <xf numFmtId="0" fontId="247" fillId="0" borderId="0" xfId="37" quotePrefix="1" applyFont="1" applyAlignment="1">
      <alignment horizontal="left" vertical="top"/>
    </xf>
    <xf numFmtId="0" fontId="270" fillId="0" borderId="0" xfId="37" applyFont="1"/>
    <xf numFmtId="3" fontId="247"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7" fillId="0" borderId="0" xfId="37" applyNumberFormat="1" applyFont="1" applyAlignment="1">
      <alignment vertical="center"/>
    </xf>
    <xf numFmtId="38" fontId="247"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7" fillId="0" borderId="0" xfId="37" quotePrefix="1" applyFont="1" applyAlignment="1">
      <alignment horizontal="right" vertical="top"/>
    </xf>
    <xf numFmtId="0" fontId="247" fillId="0" borderId="0" xfId="37" quotePrefix="1" applyFont="1" applyAlignment="1">
      <alignment horizontal="center" vertical="top"/>
    </xf>
    <xf numFmtId="0" fontId="247" fillId="0" borderId="0" xfId="37" quotePrefix="1" applyFont="1" applyAlignment="1">
      <alignment horizontal="center" vertical="center"/>
    </xf>
    <xf numFmtId="0" fontId="254" fillId="0" borderId="0" xfId="37" quotePrefix="1" applyFont="1" applyAlignment="1">
      <alignment horizontal="left" vertical="center"/>
    </xf>
    <xf numFmtId="0" fontId="91" fillId="0" borderId="0" xfId="37" applyFont="1" applyAlignment="1">
      <alignment horizontal="right" vertical="center"/>
    </xf>
    <xf numFmtId="10" fontId="225" fillId="0" borderId="0" xfId="37" applyNumberFormat="1" applyFont="1" applyAlignment="1">
      <alignment vertical="center"/>
    </xf>
    <xf numFmtId="10" fontId="247" fillId="0" borderId="0" xfId="37" applyNumberFormat="1" applyFont="1" applyAlignment="1">
      <alignment horizontal="center" vertical="center"/>
    </xf>
    <xf numFmtId="0" fontId="92" fillId="0" borderId="0" xfId="37" applyFont="1" applyAlignment="1">
      <alignment vertical="center"/>
    </xf>
    <xf numFmtId="0" fontId="229" fillId="0" borderId="0" xfId="37" applyFont="1" applyAlignment="1">
      <alignment vertical="center"/>
    </xf>
    <xf numFmtId="0" fontId="91" fillId="0" borderId="0" xfId="37" applyFont="1" applyAlignment="1">
      <alignment horizontal="center" vertical="top"/>
    </xf>
    <xf numFmtId="38" fontId="225" fillId="0" borderId="0" xfId="37" applyNumberFormat="1" applyFont="1" applyAlignment="1">
      <alignment horizontal="center" vertical="top"/>
    </xf>
    <xf numFmtId="0" fontId="291" fillId="0" borderId="0" xfId="37" applyFont="1" applyAlignment="1">
      <alignment vertical="top"/>
    </xf>
    <xf numFmtId="0" fontId="94" fillId="0" borderId="0" xfId="37" applyFont="1" applyAlignment="1">
      <alignment horizontal="right" vertical="center"/>
    </xf>
    <xf numFmtId="0" fontId="254" fillId="0" borderId="0" xfId="37" quotePrefix="1" applyFont="1"/>
    <xf numFmtId="0" fontId="254" fillId="0" borderId="0" xfId="37" applyFont="1"/>
    <xf numFmtId="38" fontId="225" fillId="0" borderId="0" xfId="37" applyNumberFormat="1" applyFont="1" applyAlignment="1">
      <alignment horizontal="center"/>
    </xf>
    <xf numFmtId="0" fontId="92" fillId="0" borderId="0" xfId="37" applyFont="1" applyAlignment="1">
      <alignment horizontal="right" vertical="center"/>
    </xf>
    <xf numFmtId="38" fontId="225" fillId="0" borderId="0" xfId="37" applyNumberFormat="1" applyFont="1" applyAlignment="1">
      <alignment vertical="center"/>
    </xf>
    <xf numFmtId="9" fontId="247" fillId="0" borderId="0" xfId="38" applyFont="1" applyFill="1" applyBorder="1" applyAlignment="1" applyProtection="1">
      <alignment horizontal="left" vertical="center"/>
    </xf>
    <xf numFmtId="40" fontId="225" fillId="0" borderId="0" xfId="37" applyNumberFormat="1" applyFont="1" applyAlignment="1">
      <alignment horizontal="center" vertical="center"/>
    </xf>
    <xf numFmtId="0" fontId="225" fillId="0" borderId="0" xfId="37" quotePrefix="1" applyFont="1" applyAlignment="1">
      <alignment horizontal="right" vertical="center"/>
    </xf>
    <xf numFmtId="9" fontId="225" fillId="0" borderId="0" xfId="38" applyFont="1" applyFill="1" applyBorder="1" applyAlignment="1" applyProtection="1">
      <alignment horizontal="center" vertical="top"/>
    </xf>
    <xf numFmtId="10" fontId="225" fillId="0" borderId="0" xfId="37" applyNumberFormat="1" applyFont="1" applyAlignment="1">
      <alignment horizontal="center" vertical="center"/>
    </xf>
    <xf numFmtId="0" fontId="307" fillId="0" borderId="0" xfId="0" applyFont="1" applyAlignment="1">
      <alignment horizontal="right" vertical="center"/>
    </xf>
    <xf numFmtId="0" fontId="247" fillId="0" borderId="0" xfId="37" quotePrefix="1" applyFont="1" applyAlignment="1">
      <alignment horizontal="left" vertical="center"/>
    </xf>
    <xf numFmtId="0" fontId="270" fillId="0" borderId="0" xfId="37" applyFont="1" applyAlignment="1">
      <alignment horizontal="right" vertical="center"/>
    </xf>
    <xf numFmtId="38" fontId="91" fillId="0" borderId="0" xfId="37" applyNumberFormat="1" applyFont="1" applyAlignment="1">
      <alignment vertical="center"/>
    </xf>
    <xf numFmtId="0" fontId="247" fillId="0" borderId="0" xfId="37" quotePrefix="1" applyFont="1" applyAlignment="1">
      <alignment vertical="top"/>
    </xf>
    <xf numFmtId="168" fontId="247" fillId="0" borderId="0" xfId="37" applyNumberFormat="1" applyFont="1" applyAlignment="1">
      <alignment vertical="center"/>
    </xf>
    <xf numFmtId="167" fontId="91" fillId="0" borderId="0" xfId="37" applyNumberFormat="1" applyFont="1" applyAlignment="1">
      <alignment horizontal="center" vertical="center"/>
    </xf>
    <xf numFmtId="0" fontId="308"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7" fillId="0" borderId="0" xfId="37" applyNumberFormat="1" applyFont="1" applyAlignment="1">
      <alignment vertical="top"/>
    </xf>
    <xf numFmtId="49" fontId="225"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5" fillId="0" borderId="0" xfId="37" quotePrefix="1" applyNumberFormat="1" applyFont="1" applyAlignment="1">
      <alignment horizontal="left" vertical="center"/>
    </xf>
    <xf numFmtId="0" fontId="309" fillId="0" borderId="0" xfId="37" applyFont="1" applyAlignment="1">
      <alignment horizontal="right" vertical="center"/>
    </xf>
    <xf numFmtId="0" fontId="304" fillId="0" borderId="0" xfId="37" applyFont="1"/>
    <xf numFmtId="0" fontId="82" fillId="0" borderId="0" xfId="37" applyFont="1" applyAlignment="1">
      <alignment horizontal="center" vertical="center"/>
    </xf>
    <xf numFmtId="0" fontId="306" fillId="0" borderId="0" xfId="37" applyFont="1"/>
    <xf numFmtId="0" fontId="270" fillId="0" borderId="0" xfId="37" applyFont="1" applyAlignment="1">
      <alignment horizontal="center"/>
    </xf>
    <xf numFmtId="10" fontId="247"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5" fillId="0" borderId="0" xfId="37" quotePrefix="1" applyFont="1" applyAlignment="1">
      <alignment horizontal="center" vertical="top"/>
    </xf>
    <xf numFmtId="175" fontId="247"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7"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7" fillId="0" borderId="0" xfId="0" applyNumberFormat="1" applyFont="1" applyAlignment="1">
      <alignment horizontal="center" vertical="center"/>
    </xf>
    <xf numFmtId="0" fontId="92" fillId="0" borderId="0" xfId="37" applyFont="1" applyAlignment="1">
      <alignment horizontal="left" vertical="center"/>
    </xf>
    <xf numFmtId="188" fontId="247" fillId="0" borderId="0" xfId="37" applyNumberFormat="1" applyFont="1" applyAlignment="1">
      <alignment horizontal="center" vertical="center"/>
    </xf>
    <xf numFmtId="0" fontId="247" fillId="0" borderId="0" xfId="33" applyFont="1" applyAlignment="1" applyProtection="1">
      <alignment horizont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5" fillId="20" borderId="82" xfId="0" applyFont="1" applyFill="1" applyBorder="1" applyAlignment="1">
      <alignment horizontal="center" vertical="center" wrapText="1"/>
    </xf>
    <xf numFmtId="0" fontId="215" fillId="20" borderId="78" xfId="0" applyFont="1" applyFill="1" applyBorder="1" applyAlignment="1">
      <alignment horizontal="center" vertical="center" wrapText="1"/>
    </xf>
    <xf numFmtId="0" fontId="215" fillId="20" borderId="7" xfId="0" applyFont="1" applyFill="1" applyBorder="1" applyAlignment="1">
      <alignment horizontal="center" vertical="center" wrapText="1"/>
    </xf>
    <xf numFmtId="0" fontId="215" fillId="20" borderId="0" xfId="0" applyFont="1" applyFill="1" applyAlignment="1">
      <alignment horizontal="center" vertical="center" wrapText="1"/>
    </xf>
    <xf numFmtId="0" fontId="215" fillId="20" borderId="8" xfId="0" applyFont="1" applyFill="1" applyBorder="1" applyAlignment="1">
      <alignment horizontal="center" vertical="center" wrapText="1"/>
    </xf>
    <xf numFmtId="0" fontId="215" fillId="20" borderId="9" xfId="0" applyFont="1" applyFill="1" applyBorder="1" applyAlignment="1">
      <alignment horizontal="center" vertical="center" wrapText="1"/>
    </xf>
    <xf numFmtId="0" fontId="215" fillId="20" borderId="13" xfId="0" applyFont="1" applyFill="1" applyBorder="1" applyAlignment="1">
      <alignment horizontal="center" vertical="center" wrapText="1"/>
    </xf>
    <xf numFmtId="0" fontId="215"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3" fillId="0" borderId="0" xfId="0" applyFont="1" applyAlignment="1">
      <alignment horizontal="center" wrapText="1"/>
    </xf>
    <xf numFmtId="0" fontId="203"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4" fillId="8" borderId="7" xfId="13" applyFont="1" applyFill="1" applyBorder="1" applyAlignment="1">
      <alignment horizontal="center" vertical="center"/>
    </xf>
    <xf numFmtId="0" fontId="164"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69" fillId="0" borderId="40" xfId="0" applyNumberFormat="1" applyFont="1" applyBorder="1" applyAlignment="1">
      <alignment horizontal="center"/>
    </xf>
    <xf numFmtId="1" fontId="169" fillId="0" borderId="0" xfId="0" applyNumberFormat="1" applyFont="1" applyAlignment="1">
      <alignment horizontal="center"/>
    </xf>
    <xf numFmtId="1" fontId="169"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78" fillId="0" borderId="56" xfId="0" applyNumberFormat="1" applyFont="1" applyBorder="1" applyAlignment="1">
      <alignment horizontal="center" vertical="center"/>
    </xf>
    <xf numFmtId="38" fontId="178" fillId="0" borderId="1" xfId="0" applyNumberFormat="1" applyFont="1" applyBorder="1" applyAlignment="1">
      <alignment horizontal="center" vertical="center"/>
    </xf>
    <xf numFmtId="38" fontId="178"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3"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88" fillId="0" borderId="77" xfId="0" applyFont="1" applyBorder="1" applyAlignment="1">
      <alignment horizontal="center" vertical="center"/>
    </xf>
    <xf numFmtId="0" fontId="188" fillId="0" borderId="78" xfId="0" applyFont="1" applyBorder="1" applyAlignment="1">
      <alignment horizontal="center" vertical="center"/>
    </xf>
    <xf numFmtId="164" fontId="188" fillId="0" borderId="82" xfId="1" applyNumberFormat="1" applyFont="1" applyFill="1" applyBorder="1" applyAlignment="1" applyProtection="1">
      <alignment horizontal="right" vertical="center" wrapText="1"/>
    </xf>
    <xf numFmtId="164" fontId="188" fillId="0" borderId="0" xfId="1" applyNumberFormat="1" applyFont="1" applyFill="1" applyBorder="1" applyAlignment="1" applyProtection="1">
      <alignment horizontal="right" vertical="center" wrapText="1"/>
    </xf>
    <xf numFmtId="2" fontId="173" fillId="0" borderId="9" xfId="0" applyNumberFormat="1" applyFont="1" applyBorder="1" applyAlignment="1">
      <alignment horizontal="center" vertical="top"/>
    </xf>
    <xf numFmtId="2" fontId="173"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3"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48"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3" fillId="0" borderId="75" xfId="37" applyFont="1" applyBorder="1" applyAlignment="1">
      <alignment horizontal="center" vertical="center" wrapText="1"/>
    </xf>
    <xf numFmtId="0" fontId="263" fillId="0" borderId="76" xfId="37" applyFont="1" applyBorder="1" applyAlignment="1">
      <alignment horizontal="center" vertical="center" wrapText="1"/>
    </xf>
    <xf numFmtId="0" fontId="225" fillId="0" borderId="0" xfId="37" applyFont="1" applyAlignment="1">
      <alignment horizontal="center" vertical="center" wrapText="1"/>
    </xf>
    <xf numFmtId="0" fontId="225" fillId="0" borderId="0" xfId="37" applyFont="1" applyAlignment="1">
      <alignment horizontal="center" vertical="center"/>
    </xf>
    <xf numFmtId="0" fontId="247" fillId="0" borderId="0" xfId="37" applyFont="1" applyAlignment="1">
      <alignment horizontal="center"/>
    </xf>
    <xf numFmtId="0" fontId="225" fillId="0" borderId="0" xfId="37" applyFont="1" applyAlignment="1">
      <alignment horizontal="center"/>
    </xf>
    <xf numFmtId="0" fontId="257" fillId="0" borderId="75" xfId="37" applyFont="1" applyBorder="1" applyAlignment="1">
      <alignment horizontal="center" vertical="center" wrapText="1"/>
    </xf>
    <xf numFmtId="0" fontId="257" fillId="0" borderId="76" xfId="37" applyFont="1" applyBorder="1" applyAlignment="1">
      <alignment horizontal="center" vertical="center" wrapText="1"/>
    </xf>
    <xf numFmtId="0" fontId="263"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7" fillId="0" borderId="56" xfId="37" applyFont="1" applyBorder="1" applyAlignment="1">
      <alignment horizontal="center" vertical="center"/>
    </xf>
    <xf numFmtId="0" fontId="257" fillId="0" borderId="1" xfId="37" applyFont="1" applyBorder="1" applyAlignment="1">
      <alignment horizontal="center" vertical="center"/>
    </xf>
    <xf numFmtId="0" fontId="257" fillId="0" borderId="35" xfId="37" applyFont="1" applyBorder="1" applyAlignment="1">
      <alignment horizontal="center" vertical="center"/>
    </xf>
    <xf numFmtId="0" fontId="263" fillId="0" borderId="56" xfId="37" applyFont="1" applyBorder="1" applyAlignment="1">
      <alignment horizontal="center" vertical="center"/>
    </xf>
    <xf numFmtId="0" fontId="263" fillId="0" borderId="1" xfId="37" applyFont="1" applyBorder="1" applyAlignment="1">
      <alignment horizontal="center" vertical="center"/>
    </xf>
    <xf numFmtId="0" fontId="263"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7" fillId="0" borderId="115" xfId="37" applyFont="1" applyBorder="1" applyAlignment="1">
      <alignment horizontal="center" vertical="center"/>
    </xf>
    <xf numFmtId="0" fontId="257" fillId="0" borderId="85" xfId="37" applyFont="1" applyBorder="1" applyAlignment="1">
      <alignment horizontal="center" vertical="center"/>
    </xf>
    <xf numFmtId="0" fontId="263" fillId="0" borderId="115" xfId="37" applyFont="1" applyBorder="1" applyAlignment="1">
      <alignment horizontal="center" vertical="center"/>
    </xf>
    <xf numFmtId="0" fontId="263"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5" fillId="8" borderId="75" xfId="37" applyFont="1" applyFill="1" applyBorder="1" applyAlignment="1">
      <alignment horizontal="center" vertical="center"/>
    </xf>
    <xf numFmtId="0" fontId="255" fillId="8" borderId="79" xfId="37" applyFont="1" applyFill="1" applyBorder="1" applyAlignment="1">
      <alignment horizontal="center" vertical="center"/>
    </xf>
    <xf numFmtId="0" fontId="255"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7"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09" fillId="0" borderId="141" xfId="33" applyFont="1" applyBorder="1" applyAlignment="1">
      <alignment horizontal="right" vertical="center"/>
    </xf>
    <xf numFmtId="0" fontId="207" fillId="28" borderId="21" xfId="33" applyFont="1" applyFill="1" applyBorder="1" applyAlignment="1">
      <alignment horizontal="center" vertical="center"/>
    </xf>
    <xf numFmtId="0" fontId="207" fillId="28" borderId="31" xfId="33" applyFont="1" applyFill="1" applyBorder="1" applyAlignment="1">
      <alignment horizontal="center" vertical="center"/>
    </xf>
    <xf numFmtId="37" fontId="207" fillId="13" borderId="126" xfId="34" applyNumberFormat="1" applyFont="1" applyFill="1" applyBorder="1" applyAlignment="1" applyProtection="1">
      <alignment horizontal="center" vertical="center"/>
    </xf>
    <xf numFmtId="37" fontId="207" fillId="13" borderId="127" xfId="34" applyNumberFormat="1" applyFont="1" applyFill="1" applyBorder="1" applyAlignment="1" applyProtection="1">
      <alignment horizontal="center" vertical="center"/>
    </xf>
    <xf numFmtId="37" fontId="207" fillId="28" borderId="17" xfId="33" applyNumberFormat="1" applyFont="1" applyFill="1" applyBorder="1" applyAlignment="1">
      <alignment horizontal="center" vertical="center"/>
    </xf>
    <xf numFmtId="0" fontId="207" fillId="28" borderId="58" xfId="33" applyFont="1" applyFill="1" applyBorder="1" applyAlignment="1">
      <alignment horizontal="center" vertical="center"/>
    </xf>
    <xf numFmtId="0" fontId="207" fillId="28" borderId="34" xfId="33" applyFont="1" applyFill="1" applyBorder="1" applyAlignment="1">
      <alignment horizontal="center" vertical="center"/>
    </xf>
    <xf numFmtId="37" fontId="207" fillId="28" borderId="18" xfId="33" applyNumberFormat="1" applyFont="1" applyFill="1" applyBorder="1" applyAlignment="1">
      <alignment horizontal="center" vertical="center"/>
    </xf>
    <xf numFmtId="0" fontId="207" fillId="0" borderId="0" xfId="33" applyFont="1" applyAlignment="1">
      <alignment horizontal="center"/>
    </xf>
    <xf numFmtId="0" fontId="209" fillId="29" borderId="75" xfId="33" applyFont="1" applyFill="1" applyBorder="1" applyAlignment="1">
      <alignment horizontal="left"/>
    </xf>
    <xf numFmtId="0" fontId="209" fillId="29" borderId="79" xfId="33" applyFont="1" applyFill="1" applyBorder="1" applyAlignment="1">
      <alignment horizontal="left"/>
    </xf>
    <xf numFmtId="0" fontId="209" fillId="29" borderId="76" xfId="33" applyFont="1" applyFill="1" applyBorder="1" applyAlignment="1">
      <alignment horizontal="left"/>
    </xf>
    <xf numFmtId="0" fontId="209" fillId="0" borderId="0" xfId="33" applyFont="1" applyAlignment="1">
      <alignment horizontal="right" vertical="center"/>
    </xf>
    <xf numFmtId="0" fontId="209" fillId="0" borderId="8" xfId="33" applyFont="1" applyBorder="1" applyAlignment="1">
      <alignment horizontal="right" vertical="center"/>
    </xf>
    <xf numFmtId="0" fontId="207"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7" fillId="0" borderId="152" xfId="33" applyFont="1" applyBorder="1"/>
    <xf numFmtId="0" fontId="207" fillId="0" borderId="47" xfId="33" applyFont="1" applyBorder="1"/>
    <xf numFmtId="0" fontId="207" fillId="28" borderId="126" xfId="33" applyFont="1" applyFill="1" applyBorder="1" applyAlignment="1">
      <alignment horizontal="center" vertical="center"/>
    </xf>
    <xf numFmtId="0" fontId="207" fillId="28" borderId="127" xfId="33" applyFont="1" applyFill="1" applyBorder="1" applyAlignment="1">
      <alignment horizontal="center" vertical="center"/>
    </xf>
    <xf numFmtId="37" fontId="207" fillId="28" borderId="128" xfId="33" applyNumberFormat="1" applyFont="1" applyFill="1" applyBorder="1" applyAlignment="1">
      <alignment horizontal="center" vertical="center"/>
    </xf>
    <xf numFmtId="37" fontId="213" fillId="10" borderId="30" xfId="34" applyNumberFormat="1" applyFont="1" applyFill="1" applyBorder="1" applyAlignment="1" applyProtection="1">
      <alignment horizontal="center" vertical="center"/>
      <protection locked="0"/>
    </xf>
    <xf numFmtId="37" fontId="213" fillId="10" borderId="31" xfId="34" applyNumberFormat="1" applyFont="1" applyFill="1" applyBorder="1" applyAlignment="1" applyProtection="1">
      <alignment horizontal="center" vertical="center"/>
      <protection locked="0"/>
    </xf>
    <xf numFmtId="37" fontId="213" fillId="10" borderId="33" xfId="34" applyNumberFormat="1" applyFont="1" applyFill="1" applyBorder="1" applyAlignment="1" applyProtection="1">
      <alignment horizontal="center" vertical="center"/>
      <protection locked="0"/>
    </xf>
    <xf numFmtId="37" fontId="213" fillId="10" borderId="34" xfId="34" applyNumberFormat="1" applyFont="1" applyFill="1" applyBorder="1" applyAlignment="1" applyProtection="1">
      <alignment horizontal="center" vertical="center"/>
      <protection locked="0"/>
    </xf>
    <xf numFmtId="0" fontId="211" fillId="0" borderId="0" xfId="33" applyFont="1" applyAlignment="1">
      <alignment horizontal="center" vertical="center" wrapText="1"/>
    </xf>
    <xf numFmtId="37" fontId="213" fillId="10" borderId="125" xfId="34" applyNumberFormat="1" applyFont="1" applyFill="1" applyBorder="1" applyAlignment="1" applyProtection="1">
      <alignment horizontal="center" vertical="center"/>
      <protection locked="0"/>
    </xf>
    <xf numFmtId="37" fontId="213" fillId="10" borderId="127"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8" xfId="33" applyFont="1" applyBorder="1" applyAlignment="1">
      <alignment horizontal="right" vertical="center"/>
    </xf>
    <xf numFmtId="166" fontId="207" fillId="28" borderId="182" xfId="35" applyNumberFormat="1" applyFont="1" applyFill="1" applyBorder="1" applyAlignment="1">
      <alignment horizontal="center" vertical="center"/>
    </xf>
    <xf numFmtId="166" fontId="207" fillId="28" borderId="150" xfId="35" applyNumberFormat="1" applyFont="1" applyFill="1" applyBorder="1" applyAlignment="1">
      <alignment horizontal="center" vertical="center"/>
    </xf>
    <xf numFmtId="0" fontId="208" fillId="0" borderId="75" xfId="33" applyFont="1" applyBorder="1" applyAlignment="1">
      <alignment horizontal="left"/>
    </xf>
    <xf numFmtId="0" fontId="208" fillId="0" borderId="79" xfId="33" applyFont="1" applyBorder="1" applyAlignment="1">
      <alignment horizontal="left"/>
    </xf>
    <xf numFmtId="0" fontId="208" fillId="0" borderId="76" xfId="33" applyFont="1" applyBorder="1" applyAlignment="1">
      <alignment horizontal="left"/>
    </xf>
    <xf numFmtId="0" fontId="208" fillId="10" borderId="83" xfId="33" applyFont="1" applyFill="1" applyBorder="1" applyAlignment="1">
      <alignment horizontal="center"/>
    </xf>
    <xf numFmtId="0" fontId="208" fillId="28" borderId="75" xfId="33" applyFont="1" applyFill="1" applyBorder="1" applyAlignment="1">
      <alignment horizontal="center"/>
    </xf>
    <xf numFmtId="0" fontId="208" fillId="28" borderId="79" xfId="33" applyFont="1" applyFill="1" applyBorder="1" applyAlignment="1">
      <alignment horizontal="center"/>
    </xf>
    <xf numFmtId="0" fontId="208"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7" fillId="10" borderId="30" xfId="34" applyNumberFormat="1" applyFont="1" applyFill="1" applyBorder="1" applyAlignment="1" applyProtection="1">
      <alignment horizontal="center" vertical="center"/>
      <protection locked="0"/>
    </xf>
    <xf numFmtId="164" fontId="207" fillId="10" borderId="180" xfId="34" applyNumberFormat="1" applyFont="1" applyFill="1" applyBorder="1" applyAlignment="1" applyProtection="1">
      <alignment horizontal="center" vertical="center"/>
      <protection locked="0"/>
    </xf>
    <xf numFmtId="0" fontId="207" fillId="10" borderId="33" xfId="33" applyFont="1" applyFill="1" applyBorder="1" applyAlignment="1" applyProtection="1">
      <alignment horizontal="center" vertical="center"/>
      <protection locked="0"/>
    </xf>
    <xf numFmtId="0" fontId="207" fillId="10" borderId="181" xfId="33" applyFont="1" applyFill="1" applyBorder="1" applyAlignment="1" applyProtection="1">
      <alignment horizontal="center" vertical="center"/>
      <protection locked="0"/>
    </xf>
    <xf numFmtId="0" fontId="207" fillId="0" borderId="13" xfId="33" applyFont="1" applyBorder="1" applyAlignment="1">
      <alignment horizontal="center" vertical="center"/>
    </xf>
    <xf numFmtId="0" fontId="207" fillId="0" borderId="79" xfId="33" applyFont="1" applyBorder="1" applyAlignment="1">
      <alignment horizontal="center" vertical="center"/>
    </xf>
    <xf numFmtId="43" fontId="207" fillId="28" borderId="33" xfId="34" applyFont="1" applyFill="1" applyBorder="1" applyAlignment="1">
      <alignment horizontal="center" vertical="center"/>
    </xf>
    <xf numFmtId="43" fontId="207" fillId="28" borderId="181" xfId="34" applyFont="1" applyFill="1" applyBorder="1" applyAlignment="1">
      <alignment horizontal="center" vertical="center"/>
    </xf>
    <xf numFmtId="0" fontId="209" fillId="0" borderId="134" xfId="33" applyFont="1" applyBorder="1" applyAlignment="1">
      <alignment horizontal="left" vertical="center"/>
    </xf>
    <xf numFmtId="0" fontId="209" fillId="0" borderId="135" xfId="33" applyFont="1" applyBorder="1" applyAlignment="1">
      <alignment horizontal="left" vertical="center"/>
    </xf>
    <xf numFmtId="0" fontId="209"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7" fillId="0" borderId="125" xfId="34" applyNumberFormat="1" applyFont="1" applyBorder="1" applyAlignment="1">
      <alignment horizontal="left" vertical="center"/>
    </xf>
    <xf numFmtId="164" fontId="207" fillId="0" borderId="126" xfId="34" applyNumberFormat="1" applyFont="1" applyBorder="1" applyAlignment="1">
      <alignment horizontal="left" vertical="center"/>
    </xf>
    <xf numFmtId="0" fontId="208" fillId="10" borderId="104" xfId="33" applyFont="1" applyFill="1" applyBorder="1" applyAlignment="1">
      <alignment horizontal="center"/>
    </xf>
    <xf numFmtId="0" fontId="208" fillId="10" borderId="129" xfId="33" applyFont="1" applyFill="1" applyBorder="1" applyAlignment="1">
      <alignment horizontal="center"/>
    </xf>
    <xf numFmtId="164" fontId="207" fillId="10" borderId="30" xfId="34" applyNumberFormat="1" applyFont="1" applyFill="1" applyBorder="1" applyAlignment="1" applyProtection="1">
      <alignment horizontal="left" vertical="center"/>
      <protection locked="0"/>
    </xf>
    <xf numFmtId="164" fontId="207" fillId="10" borderId="21" xfId="34" applyNumberFormat="1" applyFont="1" applyFill="1" applyBorder="1" applyAlignment="1" applyProtection="1">
      <alignment horizontal="left" vertical="center"/>
      <protection locked="0"/>
    </xf>
    <xf numFmtId="0" fontId="208" fillId="28" borderId="139" xfId="33" applyFont="1" applyFill="1" applyBorder="1" applyAlignment="1">
      <alignment horizontal="center" wrapText="1"/>
    </xf>
    <xf numFmtId="0" fontId="208" fillId="28" borderId="151" xfId="33" applyFont="1" applyFill="1" applyBorder="1" applyAlignment="1">
      <alignment horizontal="center" wrapText="1"/>
    </xf>
    <xf numFmtId="0" fontId="208" fillId="28" borderId="140" xfId="33" applyFont="1" applyFill="1" applyBorder="1" applyAlignment="1">
      <alignment horizontal="center" wrapText="1"/>
    </xf>
    <xf numFmtId="0" fontId="208" fillId="28" borderId="150" xfId="33" applyFont="1" applyFill="1" applyBorder="1" applyAlignment="1">
      <alignment horizontal="center" wrapText="1"/>
    </xf>
    <xf numFmtId="14" fontId="207" fillId="0" borderId="33" xfId="34" applyNumberFormat="1" applyFont="1" applyBorder="1" applyAlignment="1">
      <alignment horizontal="left" vertical="center"/>
    </xf>
    <xf numFmtId="14" fontId="207" fillId="0" borderId="58" xfId="34" applyNumberFormat="1" applyFont="1" applyBorder="1" applyAlignment="1">
      <alignment horizontal="left" vertical="center"/>
    </xf>
    <xf numFmtId="164" fontId="207" fillId="28" borderId="125" xfId="34" applyNumberFormat="1" applyFont="1" applyFill="1" applyBorder="1" applyAlignment="1">
      <alignment horizontal="center" vertical="center"/>
    </xf>
    <xf numFmtId="164" fontId="207" fillId="28" borderId="179" xfId="34" applyNumberFormat="1" applyFont="1" applyFill="1" applyBorder="1" applyAlignment="1">
      <alignment horizontal="center" vertical="center"/>
    </xf>
    <xf numFmtId="164" fontId="207" fillId="10" borderId="75" xfId="34" applyNumberFormat="1" applyFont="1" applyFill="1" applyBorder="1" applyAlignment="1" applyProtection="1">
      <alignment horizontal="center" vertical="center"/>
      <protection locked="0"/>
    </xf>
    <xf numFmtId="164" fontId="207" fillId="10" borderId="148" xfId="34" applyNumberFormat="1" applyFont="1" applyFill="1" applyBorder="1" applyAlignment="1" applyProtection="1">
      <alignment horizontal="center" vertical="center"/>
      <protection locked="0"/>
    </xf>
    <xf numFmtId="0" fontId="209" fillId="0" borderId="136" xfId="33" applyFont="1" applyBorder="1" applyAlignment="1">
      <alignment horizontal="left" vertical="center"/>
    </xf>
    <xf numFmtId="0" fontId="209" fillId="0" borderId="79" xfId="33" applyFont="1" applyBorder="1" applyAlignment="1">
      <alignment horizontal="left" vertical="center"/>
    </xf>
    <xf numFmtId="0" fontId="209" fillId="0" borderId="148" xfId="33" applyFont="1" applyBorder="1" applyAlignment="1">
      <alignment horizontal="left"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164" fontId="207" fillId="10" borderId="125" xfId="34" applyNumberFormat="1" applyFont="1" applyFill="1" applyBorder="1" applyAlignment="1" applyProtection="1">
      <alignment horizontal="center" vertical="center"/>
      <protection locked="0"/>
    </xf>
    <xf numFmtId="164" fontId="207"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0" fillId="20" borderId="62" xfId="0" applyFont="1" applyFill="1" applyBorder="1" applyAlignment="1">
      <alignment horizontal="center" vertical="center" wrapText="1"/>
    </xf>
    <xf numFmtId="0" fontId="190" fillId="20" borderId="67" xfId="0" applyFont="1" applyFill="1" applyBorder="1" applyAlignment="1">
      <alignment horizontal="center" vertical="center" wrapText="1"/>
    </xf>
    <xf numFmtId="0" fontId="190" fillId="20" borderId="63" xfId="0" applyFont="1" applyFill="1" applyBorder="1" applyAlignment="1">
      <alignment horizontal="center" vertical="center" wrapText="1"/>
    </xf>
    <xf numFmtId="0" fontId="190" fillId="20" borderId="44" xfId="0" applyFont="1" applyFill="1" applyBorder="1" applyAlignment="1">
      <alignment horizontal="center" vertical="center" wrapText="1"/>
    </xf>
    <xf numFmtId="0" fontId="190" fillId="20" borderId="0" xfId="0" applyFont="1" applyFill="1" applyAlignment="1">
      <alignment horizontal="center" vertical="center" wrapText="1"/>
    </xf>
    <xf numFmtId="0" fontId="190" fillId="20" borderId="47" xfId="0" applyFont="1" applyFill="1" applyBorder="1" applyAlignment="1">
      <alignment horizontal="center" vertical="center" wrapText="1"/>
    </xf>
    <xf numFmtId="0" fontId="190" fillId="20" borderId="45" xfId="0" applyFont="1" applyFill="1" applyBorder="1" applyAlignment="1">
      <alignment horizontal="center" vertical="center" wrapText="1"/>
    </xf>
    <xf numFmtId="0" fontId="190" fillId="20" borderId="80" xfId="0" applyFont="1" applyFill="1" applyBorder="1" applyAlignment="1">
      <alignment horizontal="center" vertical="center" wrapText="1"/>
    </xf>
    <xf numFmtId="0" fontId="190"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78" fillId="0" borderId="43" xfId="0" applyFont="1" applyBorder="1" applyAlignment="1">
      <alignment horizontal="center" vertical="center" wrapText="1"/>
    </xf>
    <xf numFmtId="0" fontId="178" fillId="0" borderId="39" xfId="0" applyFont="1" applyBorder="1" applyAlignment="1">
      <alignment horizontal="center" vertical="center" wrapText="1"/>
    </xf>
    <xf numFmtId="0" fontId="178" fillId="0" borderId="42" xfId="0" applyFont="1" applyBorder="1" applyAlignment="1">
      <alignment horizontal="center" vertical="center" wrapText="1"/>
    </xf>
    <xf numFmtId="0" fontId="178"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4"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5"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1" fillId="0" borderId="7" xfId="0" applyFont="1" applyBorder="1" applyAlignment="1">
      <alignment horizontal="center" vertical="center"/>
    </xf>
    <xf numFmtId="0" fontId="231"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6"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7"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1" fillId="0" borderId="9" xfId="0" applyFont="1" applyBorder="1" applyAlignment="1">
      <alignment horizontal="center" vertical="center"/>
    </xf>
    <xf numFmtId="0" fontId="231"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3"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7" fillId="13" borderId="30" xfId="34" applyNumberFormat="1" applyFont="1" applyFill="1" applyBorder="1" applyAlignment="1" applyProtection="1">
      <alignment horizontal="center" vertical="center"/>
      <protection locked="0"/>
    </xf>
    <xf numFmtId="164" fontId="207" fillId="13" borderId="180" xfId="34" applyNumberFormat="1" applyFont="1" applyFill="1" applyBorder="1" applyAlignment="1" applyProtection="1">
      <alignment horizontal="center" vertical="center"/>
      <protection locked="0"/>
    </xf>
    <xf numFmtId="164" fontId="207" fillId="13" borderId="125" xfId="34" applyNumberFormat="1" applyFont="1" applyFill="1" applyBorder="1" applyAlignment="1" applyProtection="1">
      <alignment horizontal="center" vertical="center"/>
      <protection locked="0"/>
    </xf>
    <xf numFmtId="164" fontId="207" fillId="13" borderId="179"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164" fontId="207" fillId="13" borderId="75" xfId="34" applyNumberFormat="1" applyFont="1" applyFill="1" applyBorder="1" applyAlignment="1" applyProtection="1">
      <alignment horizontal="center" vertical="center"/>
      <protection locked="0"/>
    </xf>
    <xf numFmtId="164" fontId="207" fillId="13" borderId="148" xfId="34" applyNumberFormat="1" applyFont="1" applyFill="1" applyBorder="1" applyAlignment="1" applyProtection="1">
      <alignment horizontal="center" vertical="center"/>
      <protection locked="0"/>
    </xf>
    <xf numFmtId="0" fontId="207" fillId="13" borderId="33" xfId="33" applyFont="1" applyFill="1" applyBorder="1" applyAlignment="1" applyProtection="1">
      <alignment horizontal="center" vertical="center"/>
      <protection locked="0"/>
    </xf>
    <xf numFmtId="0" fontId="207" fillId="13" borderId="181" xfId="33" applyFont="1" applyFill="1" applyBorder="1" applyAlignment="1" applyProtection="1">
      <alignment horizontal="center" vertical="center"/>
      <protection locked="0"/>
    </xf>
    <xf numFmtId="37" fontId="213" fillId="13" borderId="33" xfId="34" applyNumberFormat="1" applyFont="1" applyFill="1" applyBorder="1" applyAlignment="1" applyProtection="1">
      <alignment horizontal="center" vertical="center"/>
      <protection locked="0"/>
    </xf>
    <xf numFmtId="37" fontId="213" fillId="13" borderId="34" xfId="34" applyNumberFormat="1" applyFont="1" applyFill="1" applyBorder="1" applyAlignment="1" applyProtection="1">
      <alignment horizontal="center" vertical="center"/>
      <protection locked="0"/>
    </xf>
    <xf numFmtId="37" fontId="213" fillId="13" borderId="30" xfId="34" applyNumberFormat="1" applyFont="1" applyFill="1" applyBorder="1" applyAlignment="1" applyProtection="1">
      <alignment horizontal="center" vertical="center"/>
      <protection locked="0"/>
    </xf>
    <xf numFmtId="37" fontId="213" fillId="13" borderId="31" xfId="34" applyNumberFormat="1" applyFont="1" applyFill="1" applyBorder="1" applyAlignment="1" applyProtection="1">
      <alignment horizontal="center" vertical="center"/>
      <protection locked="0"/>
    </xf>
    <xf numFmtId="0" fontId="208" fillId="13" borderId="83" xfId="33" applyFont="1" applyFill="1" applyBorder="1" applyAlignment="1">
      <alignment horizontal="center"/>
    </xf>
    <xf numFmtId="37" fontId="207" fillId="11" borderId="58" xfId="34" applyNumberFormat="1" applyFont="1" applyFill="1" applyBorder="1" applyAlignment="1" applyProtection="1">
      <alignment horizontal="center" vertical="center"/>
      <protection locked="0"/>
    </xf>
    <xf numFmtId="37" fontId="207" fillId="11" borderId="34" xfId="34" applyNumberFormat="1" applyFont="1" applyFill="1" applyBorder="1" applyAlignment="1" applyProtection="1">
      <alignment horizontal="center" vertical="center"/>
      <protection locked="0"/>
    </xf>
    <xf numFmtId="37" fontId="207" fillId="11" borderId="21" xfId="34" applyNumberFormat="1" applyFont="1" applyFill="1" applyBorder="1" applyAlignment="1" applyProtection="1">
      <alignment horizontal="center" vertical="center"/>
      <protection locked="0"/>
    </xf>
    <xf numFmtId="37" fontId="207"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7" fillId="11" borderId="126" xfId="34" applyNumberFormat="1" applyFont="1" applyFill="1" applyBorder="1" applyAlignment="1" applyProtection="1">
      <alignment horizontal="center" vertical="center"/>
      <protection locked="0"/>
    </xf>
    <xf numFmtId="37" fontId="207" fillId="11" borderId="127" xfId="34" applyNumberFormat="1" applyFont="1" applyFill="1" applyBorder="1" applyAlignment="1" applyProtection="1">
      <alignment horizontal="center" vertical="center"/>
      <protection locked="0"/>
    </xf>
    <xf numFmtId="37" fontId="213" fillId="13" borderId="125" xfId="34" applyNumberFormat="1" applyFont="1" applyFill="1" applyBorder="1" applyAlignment="1" applyProtection="1">
      <alignment horizontal="center" vertical="center"/>
      <protection locked="0"/>
    </xf>
    <xf numFmtId="37" fontId="213" fillId="13" borderId="127" xfId="34" applyNumberFormat="1" applyFont="1" applyFill="1" applyBorder="1" applyAlignment="1" applyProtection="1">
      <alignment horizontal="center" vertical="center"/>
      <protection locked="0"/>
    </xf>
    <xf numFmtId="164" fontId="207" fillId="0" borderId="30" xfId="34" applyNumberFormat="1" applyFont="1" applyBorder="1" applyAlignment="1">
      <alignment horizontal="left" vertical="center"/>
    </xf>
    <xf numFmtId="164" fontId="207" fillId="0" borderId="21" xfId="34" applyNumberFormat="1" applyFont="1" applyBorder="1" applyAlignment="1">
      <alignment horizontal="left" vertical="center"/>
    </xf>
    <xf numFmtId="14" fontId="207" fillId="13" borderId="33" xfId="34" applyNumberFormat="1" applyFont="1" applyFill="1" applyBorder="1" applyAlignment="1" applyProtection="1">
      <alignment horizontal="left" vertical="center"/>
      <protection locked="0"/>
    </xf>
    <xf numFmtId="14" fontId="207" fillId="13" borderId="58" xfId="34" applyNumberFormat="1" applyFont="1" applyFill="1" applyBorder="1" applyAlignment="1" applyProtection="1">
      <alignment horizontal="left" vertical="center"/>
      <protection locked="0"/>
    </xf>
    <xf numFmtId="0" fontId="208" fillId="13" borderId="104" xfId="33" applyFont="1" applyFill="1" applyBorder="1" applyAlignment="1">
      <alignment horizontal="center"/>
    </xf>
    <xf numFmtId="0" fontId="208"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1"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7"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2"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Lewis Crossing</v>
      </c>
    </row>
    <row r="3" spans="1:6" ht="15" customHeight="1">
      <c r="A3" s="654" t="str">
        <f>CONCATENATE('Part I-Project Identification'!F27,", ", 'Part I-Project Identification'!J27," County")</f>
        <v>Atlanta, Fulton County</v>
      </c>
    </row>
    <row r="4" spans="1:6" ht="12" customHeight="1">
      <c r="A4" s="1062"/>
    </row>
    <row r="5" spans="1:6" ht="72" customHeight="1">
      <c r="A5" s="2907" t="s">
        <v>3972</v>
      </c>
      <c r="B5" s="2908" t="s">
        <v>3771</v>
      </c>
      <c r="C5" s="2908"/>
      <c r="D5" s="2908"/>
      <c r="E5" s="2908"/>
      <c r="F5" s="2908"/>
    </row>
    <row r="6" spans="1:6" ht="6.6" customHeight="1">
      <c r="A6" s="2907"/>
      <c r="B6" s="2908"/>
      <c r="C6" s="2908"/>
      <c r="D6" s="2908"/>
      <c r="E6" s="2908"/>
      <c r="F6" s="2908"/>
    </row>
    <row r="7" spans="1:6" ht="72" customHeight="1">
      <c r="A7" s="2907"/>
      <c r="B7" s="2908"/>
      <c r="C7" s="2908"/>
      <c r="D7" s="2908"/>
      <c r="E7" s="2908"/>
      <c r="F7" s="2908"/>
    </row>
    <row r="8" spans="1:6" ht="6.6" customHeight="1">
      <c r="A8" s="2907"/>
    </row>
    <row r="9" spans="1:6" ht="72" customHeight="1">
      <c r="A9" s="2907"/>
    </row>
    <row r="10" spans="1:6" ht="6.6" customHeight="1">
      <c r="A10" s="2907"/>
    </row>
    <row r="11" spans="1:6" ht="72" customHeight="1">
      <c r="A11" s="2907"/>
    </row>
    <row r="12" spans="1:6" ht="6.6" customHeight="1">
      <c r="A12" s="2907"/>
    </row>
    <row r="13" spans="1:6" ht="72" customHeight="1">
      <c r="A13" s="2907"/>
    </row>
    <row r="14" spans="1:6" ht="6.6" customHeight="1">
      <c r="A14" s="2907"/>
    </row>
    <row r="15" spans="1:6" ht="72" customHeight="1">
      <c r="A15" s="2907"/>
    </row>
    <row r="16" spans="1:6" ht="6.6" customHeight="1">
      <c r="A16" s="2907"/>
    </row>
    <row r="17" spans="1:1" ht="72" customHeight="1">
      <c r="A17" s="2907"/>
    </row>
    <row r="18" spans="1:1" ht="6.6" customHeight="1">
      <c r="A18" s="2907"/>
    </row>
    <row r="19" spans="1:1" ht="72" customHeight="1">
      <c r="A19" s="2907"/>
    </row>
    <row r="20" spans="1:1" ht="6.6" customHeight="1">
      <c r="A20" s="2907"/>
    </row>
    <row r="21" spans="1:1" ht="72" customHeight="1">
      <c r="A21" s="2907"/>
    </row>
    <row r="22" spans="1:1" ht="6.6" customHeight="1">
      <c r="A22" s="2907"/>
    </row>
    <row r="23" spans="1:1" ht="72" customHeight="1">
      <c r="A23" s="2907"/>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abSelected="1" topLeftCell="A214" zoomScaleNormal="100" workbookViewId="0">
      <selection activeCell="Q234" sqref="Q23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4290</v>
      </c>
      <c r="C1" s="1631" t="s">
        <v>164</v>
      </c>
      <c r="D1" s="1631" t="s">
        <v>166</v>
      </c>
      <c r="E1" s="1631" t="s">
        <v>4291</v>
      </c>
      <c r="F1" s="1631" t="s">
        <v>4292</v>
      </c>
      <c r="G1" s="1631" t="s">
        <v>4293</v>
      </c>
      <c r="H1" s="1631" t="s">
        <v>4294</v>
      </c>
      <c r="I1" s="1631" t="s">
        <v>4295</v>
      </c>
      <c r="J1" s="1631" t="s">
        <v>4296</v>
      </c>
      <c r="K1" s="1631" t="s">
        <v>3052</v>
      </c>
      <c r="L1" s="1631" t="s">
        <v>4297</v>
      </c>
      <c r="M1" s="1631" t="s">
        <v>4298</v>
      </c>
      <c r="N1" s="1631" t="s">
        <v>4299</v>
      </c>
      <c r="O1" s="1631" t="s">
        <v>4300</v>
      </c>
      <c r="P1" s="1631" t="s">
        <v>362</v>
      </c>
      <c r="Q1" s="163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9" t="str">
        <f>CONCATENATE("PART FOUR - PROJECTED REVENUES &amp; EXPENSES","  -  ",'Part I-Project Identification'!$O$7," ",'Part I-Project Identification'!$F$26,", ",'Part I-Project Identification'!F27,", ",'Part I-Project Identification'!J27," County")</f>
        <v>PART FOUR - PROJECTED REVENUES &amp; EXPENSES  -  2024-0 Lewis Crossing, Atlanta, Fulton County</v>
      </c>
      <c r="B2" s="3540"/>
      <c r="C2" s="3540"/>
      <c r="D2" s="3540"/>
      <c r="E2" s="3540"/>
      <c r="F2" s="3540"/>
      <c r="G2" s="3540"/>
      <c r="H2" s="3540"/>
      <c r="I2" s="3540"/>
      <c r="J2" s="3540"/>
      <c r="K2" s="3540"/>
      <c r="L2" s="3540"/>
      <c r="M2" s="3540"/>
      <c r="N2" s="3540"/>
      <c r="O2" s="3540"/>
      <c r="P2" s="3540"/>
      <c r="Q2" s="3541"/>
      <c r="T2" s="1363" t="str">
        <f>A2</f>
        <v>PART FOUR - PROJECTED REVENUES &amp; EXPENSES  -  2024-0 Lewis Crossing, Atlanta, Fulton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3994</v>
      </c>
      <c r="E4" s="1430"/>
      <c r="F4" s="1430"/>
      <c r="G4" s="1430"/>
      <c r="H4" s="1430"/>
      <c r="I4" s="1430"/>
      <c r="J4" s="1430"/>
      <c r="K4" s="93"/>
      <c r="L4" s="93"/>
      <c r="M4" s="93"/>
      <c r="O4" s="153" t="s">
        <v>533</v>
      </c>
      <c r="P4" s="3542" t="str">
        <f>'Part I-Project Identification'!$O$29</f>
        <v>Atlanta-Sandy Springs-Marietta</v>
      </c>
      <c r="Q4" s="3542"/>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20" t="s">
        <v>2963</v>
      </c>
      <c r="MG4" s="3520" t="s">
        <v>2964</v>
      </c>
      <c r="MH4" s="3520" t="s">
        <v>2965</v>
      </c>
      <c r="MI4" s="3520" t="s">
        <v>2966</v>
      </c>
      <c r="MJ4" s="3520" t="s">
        <v>2967</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7" t="s">
        <v>3120</v>
      </c>
      <c r="R5" s="817"/>
      <c r="S5" s="336"/>
      <c r="T5" s="336"/>
      <c r="U5" s="336"/>
      <c r="W5" s="337"/>
      <c r="X5" s="3521" t="s">
        <v>3562</v>
      </c>
      <c r="Y5" s="3521" t="s">
        <v>3563</v>
      </c>
      <c r="Z5" s="3521" t="s">
        <v>3564</v>
      </c>
      <c r="AA5" s="3521" t="s">
        <v>3565</v>
      </c>
      <c r="AB5" s="3521" t="s">
        <v>3566</v>
      </c>
      <c r="AC5" s="3521" t="s">
        <v>3567</v>
      </c>
      <c r="AD5" s="3521" t="s">
        <v>3568</v>
      </c>
      <c r="AE5" s="3521" t="s">
        <v>3569</v>
      </c>
      <c r="AF5" s="3521" t="s">
        <v>3570</v>
      </c>
      <c r="AG5" s="3521" t="s">
        <v>3571</v>
      </c>
      <c r="AH5" s="3521" t="s">
        <v>860</v>
      </c>
      <c r="AI5" s="3521" t="s">
        <v>704</v>
      </c>
      <c r="AJ5" s="3521" t="s">
        <v>705</v>
      </c>
      <c r="AK5" s="3521" t="s">
        <v>706</v>
      </c>
      <c r="AL5" s="3521" t="s">
        <v>707</v>
      </c>
      <c r="AM5" s="3521" t="s">
        <v>861</v>
      </c>
      <c r="AN5" s="3521" t="s">
        <v>2125</v>
      </c>
      <c r="AO5" s="3521" t="s">
        <v>2126</v>
      </c>
      <c r="AP5" s="3521" t="s">
        <v>2127</v>
      </c>
      <c r="AQ5" s="3521" t="s">
        <v>2128</v>
      </c>
      <c r="AR5" s="3521" t="s">
        <v>3573</v>
      </c>
      <c r="AS5" s="3521" t="s">
        <v>3574</v>
      </c>
      <c r="AT5" s="3521" t="s">
        <v>3575</v>
      </c>
      <c r="AU5" s="3521" t="s">
        <v>3576</v>
      </c>
      <c r="AV5" s="3521" t="s">
        <v>3572</v>
      </c>
      <c r="AW5" s="3521" t="s">
        <v>862</v>
      </c>
      <c r="AX5" s="3521" t="s">
        <v>2129</v>
      </c>
      <c r="AY5" s="3521" t="s">
        <v>2130</v>
      </c>
      <c r="AZ5" s="3521" t="s">
        <v>2131</v>
      </c>
      <c r="BA5" s="3521" t="s">
        <v>2132</v>
      </c>
      <c r="BB5" s="3521" t="s">
        <v>3577</v>
      </c>
      <c r="BC5" s="3521" t="s">
        <v>3578</v>
      </c>
      <c r="BD5" s="3521" t="s">
        <v>3579</v>
      </c>
      <c r="BE5" s="3521" t="s">
        <v>3580</v>
      </c>
      <c r="BF5" s="3521" t="s">
        <v>3581</v>
      </c>
      <c r="BG5" s="3521" t="s">
        <v>123</v>
      </c>
      <c r="BH5" s="3521" t="s">
        <v>2133</v>
      </c>
      <c r="BI5" s="3521" t="s">
        <v>2134</v>
      </c>
      <c r="BJ5" s="3521" t="s">
        <v>2135</v>
      </c>
      <c r="BK5" s="3521" t="s">
        <v>1079</v>
      </c>
      <c r="BL5" s="3521" t="s">
        <v>3582</v>
      </c>
      <c r="BM5" s="3521" t="s">
        <v>3583</v>
      </c>
      <c r="BN5" s="3521" t="s">
        <v>3584</v>
      </c>
      <c r="BO5" s="3521" t="s">
        <v>3585</v>
      </c>
      <c r="BP5" s="3521" t="s">
        <v>3586</v>
      </c>
      <c r="BQ5" s="3521" t="s">
        <v>516</v>
      </c>
      <c r="BR5" s="3521" t="s">
        <v>517</v>
      </c>
      <c r="BS5" s="3521" t="s">
        <v>534</v>
      </c>
      <c r="BT5" s="3521" t="s">
        <v>535</v>
      </c>
      <c r="BU5" s="3521" t="s">
        <v>536</v>
      </c>
      <c r="BV5" s="3521" t="s">
        <v>3587</v>
      </c>
      <c r="BW5" s="3521" t="s">
        <v>3588</v>
      </c>
      <c r="BX5" s="3521" t="s">
        <v>3589</v>
      </c>
      <c r="BY5" s="3521" t="s">
        <v>3590</v>
      </c>
      <c r="BZ5" s="3521" t="s">
        <v>3591</v>
      </c>
      <c r="CA5" s="3521" t="s">
        <v>537</v>
      </c>
      <c r="CB5" s="3521" t="s">
        <v>538</v>
      </c>
      <c r="CC5" s="3521" t="s">
        <v>539</v>
      </c>
      <c r="CD5" s="3521" t="s">
        <v>540</v>
      </c>
      <c r="CE5" s="3521" t="s">
        <v>541</v>
      </c>
      <c r="CF5" s="3521" t="s">
        <v>542</v>
      </c>
      <c r="CG5" s="3521" t="s">
        <v>543</v>
      </c>
      <c r="CH5" s="3521" t="s">
        <v>871</v>
      </c>
      <c r="CI5" s="3521" t="s">
        <v>872</v>
      </c>
      <c r="CJ5" s="3521" t="s">
        <v>873</v>
      </c>
      <c r="CK5" s="3521" t="s">
        <v>3597</v>
      </c>
      <c r="CL5" s="3521" t="s">
        <v>3598</v>
      </c>
      <c r="CM5" s="3521" t="s">
        <v>3599</v>
      </c>
      <c r="CN5" s="3521" t="s">
        <v>3600</v>
      </c>
      <c r="CO5" s="3521" t="s">
        <v>3601</v>
      </c>
      <c r="CP5" s="3521" t="s">
        <v>3592</v>
      </c>
      <c r="CQ5" s="3521" t="s">
        <v>3593</v>
      </c>
      <c r="CR5" s="3521" t="s">
        <v>3594</v>
      </c>
      <c r="CS5" s="3521" t="s">
        <v>3595</v>
      </c>
      <c r="CT5" s="3521" t="s">
        <v>3596</v>
      </c>
      <c r="CU5" s="3521" t="s">
        <v>3602</v>
      </c>
      <c r="CV5" s="3521" t="s">
        <v>3603</v>
      </c>
      <c r="CW5" s="3521" t="s">
        <v>3604</v>
      </c>
      <c r="CX5" s="3521" t="s">
        <v>3605</v>
      </c>
      <c r="CY5" s="3521" t="s">
        <v>3606</v>
      </c>
      <c r="CZ5" s="3521" t="s">
        <v>465</v>
      </c>
      <c r="DA5" s="3521" t="s">
        <v>466</v>
      </c>
      <c r="DB5" s="3521" t="s">
        <v>467</v>
      </c>
      <c r="DC5" s="3521" t="s">
        <v>468</v>
      </c>
      <c r="DD5" s="3521" t="s">
        <v>469</v>
      </c>
      <c r="DE5" s="3521" t="s">
        <v>3607</v>
      </c>
      <c r="DF5" s="3521" t="s">
        <v>3608</v>
      </c>
      <c r="DG5" s="3521" t="s">
        <v>3609</v>
      </c>
      <c r="DH5" s="3521" t="s">
        <v>3610</v>
      </c>
      <c r="DI5" s="3521" t="s">
        <v>3611</v>
      </c>
      <c r="DJ5" s="3521" t="s">
        <v>821</v>
      </c>
      <c r="DK5" s="3521" t="s">
        <v>822</v>
      </c>
      <c r="DL5" s="3521" t="s">
        <v>823</v>
      </c>
      <c r="DM5" s="3521" t="s">
        <v>824</v>
      </c>
      <c r="DN5" s="3521" t="s">
        <v>825</v>
      </c>
      <c r="DO5" s="3521" t="s">
        <v>826</v>
      </c>
      <c r="DP5" s="3521" t="s">
        <v>827</v>
      </c>
      <c r="DQ5" s="3521" t="s">
        <v>828</v>
      </c>
      <c r="DR5" s="3521" t="s">
        <v>829</v>
      </c>
      <c r="DS5" s="3521" t="s">
        <v>830</v>
      </c>
      <c r="DT5" s="3521" t="s">
        <v>3612</v>
      </c>
      <c r="DU5" s="3521" t="s">
        <v>3613</v>
      </c>
      <c r="DV5" s="3521" t="s">
        <v>3614</v>
      </c>
      <c r="DW5" s="3521" t="s">
        <v>3615</v>
      </c>
      <c r="DX5" s="3521" t="s">
        <v>3616</v>
      </c>
      <c r="DY5" s="3521" t="s">
        <v>3617</v>
      </c>
      <c r="DZ5" s="3521" t="s">
        <v>3618</v>
      </c>
      <c r="EA5" s="3521" t="s">
        <v>3619</v>
      </c>
      <c r="EB5" s="3521" t="s">
        <v>3620</v>
      </c>
      <c r="EC5" s="3521" t="s">
        <v>3621</v>
      </c>
      <c r="ED5" s="3521" t="s">
        <v>2229</v>
      </c>
      <c r="EE5" s="3521" t="s">
        <v>2230</v>
      </c>
      <c r="EF5" s="3521" t="s">
        <v>2231</v>
      </c>
      <c r="EG5" s="3521" t="s">
        <v>2232</v>
      </c>
      <c r="EH5" s="3521" t="s">
        <v>2233</v>
      </c>
      <c r="EI5" s="3521" t="s">
        <v>3622</v>
      </c>
      <c r="EJ5" s="3521" t="s">
        <v>3623</v>
      </c>
      <c r="EK5" s="3521" t="s">
        <v>3624</v>
      </c>
      <c r="EL5" s="3521" t="s">
        <v>3625</v>
      </c>
      <c r="EM5" s="3521" t="s">
        <v>3626</v>
      </c>
      <c r="EN5" s="3521" t="s">
        <v>3627</v>
      </c>
      <c r="EO5" s="3521" t="s">
        <v>3628</v>
      </c>
      <c r="EP5" s="3521" t="s">
        <v>3629</v>
      </c>
      <c r="EQ5" s="3521" t="s">
        <v>3630</v>
      </c>
      <c r="ER5" s="3521" t="s">
        <v>3631</v>
      </c>
      <c r="ES5" s="3521" t="s">
        <v>111</v>
      </c>
      <c r="ET5" s="3521" t="s">
        <v>1082</v>
      </c>
      <c r="EU5" s="3521" t="s">
        <v>1083</v>
      </c>
      <c r="EV5" s="3521" t="s">
        <v>1138</v>
      </c>
      <c r="EW5" s="3521" t="s">
        <v>1139</v>
      </c>
      <c r="EX5" s="3521" t="s">
        <v>126</v>
      </c>
      <c r="EY5" s="3521" t="s">
        <v>1140</v>
      </c>
      <c r="EZ5" s="3521" t="s">
        <v>1141</v>
      </c>
      <c r="FA5" s="3521" t="s">
        <v>1142</v>
      </c>
      <c r="FB5" s="3521" t="s">
        <v>1143</v>
      </c>
      <c r="FC5" s="3521" t="s">
        <v>3632</v>
      </c>
      <c r="FD5" s="3521" t="s">
        <v>3633</v>
      </c>
      <c r="FE5" s="3521" t="s">
        <v>3634</v>
      </c>
      <c r="FF5" s="3521" t="s">
        <v>3635</v>
      </c>
      <c r="FG5" s="3521" t="s">
        <v>3636</v>
      </c>
      <c r="FH5" s="3521" t="s">
        <v>125</v>
      </c>
      <c r="FI5" s="3521" t="s">
        <v>852</v>
      </c>
      <c r="FJ5" s="3521" t="s">
        <v>853</v>
      </c>
      <c r="FK5" s="3521" t="s">
        <v>854</v>
      </c>
      <c r="FL5" s="3521" t="s">
        <v>855</v>
      </c>
      <c r="FM5" s="3521" t="s">
        <v>3637</v>
      </c>
      <c r="FN5" s="3521" t="s">
        <v>3638</v>
      </c>
      <c r="FO5" s="3521" t="s">
        <v>3639</v>
      </c>
      <c r="FP5" s="3521" t="s">
        <v>3640</v>
      </c>
      <c r="FQ5" s="3521" t="s">
        <v>3641</v>
      </c>
      <c r="FR5" s="3521" t="s">
        <v>124</v>
      </c>
      <c r="FS5" s="3521" t="s">
        <v>856</v>
      </c>
      <c r="FT5" s="3521" t="s">
        <v>857</v>
      </c>
      <c r="FU5" s="3521" t="s">
        <v>858</v>
      </c>
      <c r="FV5" s="3521" t="s">
        <v>859</v>
      </c>
      <c r="FW5" s="3521" t="s">
        <v>751</v>
      </c>
      <c r="FX5" s="3521" t="s">
        <v>752</v>
      </c>
      <c r="FY5" s="3521" t="s">
        <v>753</v>
      </c>
      <c r="FZ5" s="3521" t="s">
        <v>754</v>
      </c>
      <c r="GA5" s="3521" t="s">
        <v>755</v>
      </c>
      <c r="GB5" s="3521" t="s">
        <v>895</v>
      </c>
      <c r="GC5" s="3521" t="s">
        <v>896</v>
      </c>
      <c r="GD5" s="3521" t="s">
        <v>897</v>
      </c>
      <c r="GE5" s="3521" t="s">
        <v>898</v>
      </c>
      <c r="GF5" s="3521" t="s">
        <v>2228</v>
      </c>
      <c r="GG5" s="3521" t="s">
        <v>1342</v>
      </c>
      <c r="GH5" s="3521" t="s">
        <v>1343</v>
      </c>
      <c r="GI5" s="3521" t="s">
        <v>1344</v>
      </c>
      <c r="GJ5" s="3521" t="s">
        <v>1345</v>
      </c>
      <c r="GK5" s="3521" t="s">
        <v>1346</v>
      </c>
      <c r="GL5" s="3521" t="s">
        <v>410</v>
      </c>
      <c r="GM5" s="3521" t="s">
        <v>411</v>
      </c>
      <c r="GN5" s="3521" t="s">
        <v>412</v>
      </c>
      <c r="GO5" s="3521" t="s">
        <v>413</v>
      </c>
      <c r="GP5" s="3521" t="s">
        <v>414</v>
      </c>
      <c r="GQ5" s="3521" t="s">
        <v>14</v>
      </c>
      <c r="GR5" s="3521" t="s">
        <v>15</v>
      </c>
      <c r="GS5" s="3521" t="s">
        <v>16</v>
      </c>
      <c r="GT5" s="3521" t="s">
        <v>17</v>
      </c>
      <c r="GU5" s="3521" t="s">
        <v>18</v>
      </c>
      <c r="GV5" s="3521" t="s">
        <v>214</v>
      </c>
      <c r="GW5" s="3521" t="s">
        <v>215</v>
      </c>
      <c r="GX5" s="3521" t="s">
        <v>216</v>
      </c>
      <c r="GY5" s="3521" t="s">
        <v>1675</v>
      </c>
      <c r="GZ5" s="3521" t="s">
        <v>1676</v>
      </c>
      <c r="HA5" s="3521" t="s">
        <v>1677</v>
      </c>
      <c r="HB5" s="3521" t="s">
        <v>549</v>
      </c>
      <c r="HC5" s="3521" t="s">
        <v>550</v>
      </c>
      <c r="HD5" s="3521" t="s">
        <v>551</v>
      </c>
      <c r="HE5" s="3521" t="s">
        <v>552</v>
      </c>
      <c r="HF5" s="3521" t="s">
        <v>19</v>
      </c>
      <c r="HG5" s="3521" t="s">
        <v>20</v>
      </c>
      <c r="HH5" s="3521" t="s">
        <v>21</v>
      </c>
      <c r="HI5" s="3521" t="s">
        <v>22</v>
      </c>
      <c r="HJ5" s="3521" t="s">
        <v>23</v>
      </c>
      <c r="HK5" s="3521" t="s">
        <v>464</v>
      </c>
      <c r="HL5" s="3521" t="s">
        <v>406</v>
      </c>
      <c r="HM5" s="3521" t="s">
        <v>407</v>
      </c>
      <c r="HN5" s="3521" t="s">
        <v>408</v>
      </c>
      <c r="HO5" s="3521" t="s">
        <v>409</v>
      </c>
      <c r="HP5" s="3521" t="s">
        <v>2037</v>
      </c>
      <c r="HQ5" s="3521" t="s">
        <v>2038</v>
      </c>
      <c r="HR5" s="3521" t="s">
        <v>2039</v>
      </c>
      <c r="HS5" s="3521" t="s">
        <v>1383</v>
      </c>
      <c r="HT5" s="3521" t="s">
        <v>1384</v>
      </c>
      <c r="HU5" s="3521" t="s">
        <v>24</v>
      </c>
      <c r="HV5" s="3521" t="s">
        <v>25</v>
      </c>
      <c r="HW5" s="3521" t="s">
        <v>26</v>
      </c>
      <c r="HX5" s="3521" t="s">
        <v>27</v>
      </c>
      <c r="HY5" s="3521"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20" t="s">
        <v>1516</v>
      </c>
      <c r="LH5" s="3520" t="s">
        <v>2315</v>
      </c>
      <c r="LI5" s="3520" t="s">
        <v>2316</v>
      </c>
      <c r="LJ5" s="3520" t="s">
        <v>363</v>
      </c>
      <c r="LK5" s="3520" t="s">
        <v>364</v>
      </c>
      <c r="LL5" s="3520" t="s">
        <v>365</v>
      </c>
      <c r="LM5" s="3520" t="s">
        <v>366</v>
      </c>
      <c r="LN5" s="3520" t="s">
        <v>367</v>
      </c>
      <c r="LO5" s="3520" t="s">
        <v>368</v>
      </c>
      <c r="LP5" s="3520" t="s">
        <v>369</v>
      </c>
      <c r="LQ5" s="3520" t="s">
        <v>195</v>
      </c>
      <c r="LR5" s="3520" t="s">
        <v>196</v>
      </c>
      <c r="LS5" s="3520" t="s">
        <v>197</v>
      </c>
      <c r="LT5" s="3520" t="s">
        <v>198</v>
      </c>
      <c r="LU5" s="3520" t="s">
        <v>199</v>
      </c>
      <c r="LV5" s="3520" t="s">
        <v>200</v>
      </c>
      <c r="LW5" s="3520" t="s">
        <v>201</v>
      </c>
      <c r="LX5" s="3520" t="s">
        <v>202</v>
      </c>
      <c r="LY5" s="3520" t="s">
        <v>203</v>
      </c>
      <c r="LZ5" s="3520" t="s">
        <v>204</v>
      </c>
      <c r="MA5" s="3520" t="s">
        <v>205</v>
      </c>
      <c r="MB5" s="3520" t="s">
        <v>206</v>
      </c>
      <c r="MC5" s="3520" t="s">
        <v>207</v>
      </c>
      <c r="MD5" s="3520" t="s">
        <v>208</v>
      </c>
      <c r="ME5" s="3520" t="s">
        <v>209</v>
      </c>
      <c r="MF5" s="3520"/>
      <c r="MG5" s="3520"/>
      <c r="MH5" s="3520"/>
      <c r="MI5" s="3520"/>
      <c r="MJ5" s="3520"/>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3" t="str">
        <f>IF(A49&gt;0,"Finish Row!","")</f>
        <v/>
      </c>
      <c r="B6" s="141" t="s">
        <v>3995</v>
      </c>
      <c r="D6" s="1430"/>
      <c r="E6" s="1430"/>
      <c r="F6" s="1430"/>
      <c r="G6" s="1152" t="s">
        <v>194</v>
      </c>
      <c r="H6" s="3534" t="s">
        <v>3997</v>
      </c>
      <c r="I6" s="3535"/>
      <c r="J6" s="3535"/>
      <c r="K6" s="674" t="s">
        <v>3052</v>
      </c>
      <c r="L6" s="3536" t="str">
        <f>'Part I-Project Identification'!$A$6</f>
        <v>2024 May 7</v>
      </c>
      <c r="M6" s="3536"/>
      <c r="N6" s="3536"/>
      <c r="O6" s="1629" t="s">
        <v>3977</v>
      </c>
      <c r="P6" s="1420">
        <v>106600</v>
      </c>
      <c r="Q6" s="3537"/>
      <c r="R6" s="817"/>
      <c r="S6" s="72"/>
      <c r="U6" s="72"/>
      <c r="X6" s="3521"/>
      <c r="Y6" s="3521"/>
      <c r="Z6" s="3521"/>
      <c r="AA6" s="3521"/>
      <c r="AB6" s="3521"/>
      <c r="AC6" s="3521"/>
      <c r="AD6" s="3521"/>
      <c r="AE6" s="3521"/>
      <c r="AF6" s="3521"/>
      <c r="AG6" s="3521"/>
      <c r="AH6" s="3521"/>
      <c r="AI6" s="3521"/>
      <c r="AJ6" s="3521"/>
      <c r="AK6" s="3521"/>
      <c r="AL6" s="3521"/>
      <c r="AM6" s="3521"/>
      <c r="AN6" s="3521"/>
      <c r="AO6" s="3521"/>
      <c r="AP6" s="3521"/>
      <c r="AQ6" s="3521"/>
      <c r="AR6" s="3521"/>
      <c r="AS6" s="3521"/>
      <c r="AT6" s="3521"/>
      <c r="AU6" s="3521"/>
      <c r="AV6" s="3521"/>
      <c r="AW6" s="3521"/>
      <c r="AX6" s="3521"/>
      <c r="AY6" s="3521"/>
      <c r="AZ6" s="3521"/>
      <c r="BA6" s="3521"/>
      <c r="BB6" s="3521"/>
      <c r="BC6" s="3521"/>
      <c r="BD6" s="3521"/>
      <c r="BE6" s="3521"/>
      <c r="BF6" s="3521"/>
      <c r="BG6" s="3521"/>
      <c r="BH6" s="3521"/>
      <c r="BI6" s="3521"/>
      <c r="BJ6" s="3521"/>
      <c r="BK6" s="3521"/>
      <c r="BL6" s="3521"/>
      <c r="BM6" s="3521"/>
      <c r="BN6" s="3521"/>
      <c r="BO6" s="3521"/>
      <c r="BP6" s="3521"/>
      <c r="BQ6" s="3521"/>
      <c r="BR6" s="3521"/>
      <c r="BS6" s="3521"/>
      <c r="BT6" s="3521"/>
      <c r="BU6" s="3521"/>
      <c r="BV6" s="3521"/>
      <c r="BW6" s="3521"/>
      <c r="BX6" s="3521"/>
      <c r="BY6" s="3521"/>
      <c r="BZ6" s="3521"/>
      <c r="CA6" s="3521"/>
      <c r="CB6" s="3521"/>
      <c r="CC6" s="3521"/>
      <c r="CD6" s="3521"/>
      <c r="CE6" s="3521"/>
      <c r="CF6" s="3521"/>
      <c r="CG6" s="3521"/>
      <c r="CH6" s="3521"/>
      <c r="CI6" s="3521"/>
      <c r="CJ6" s="3521"/>
      <c r="CK6" s="3521"/>
      <c r="CL6" s="3521"/>
      <c r="CM6" s="3521"/>
      <c r="CN6" s="3521"/>
      <c r="CO6" s="3521"/>
      <c r="CP6" s="3521"/>
      <c r="CQ6" s="3521"/>
      <c r="CR6" s="3521"/>
      <c r="CS6" s="3521"/>
      <c r="CT6" s="3521"/>
      <c r="CU6" s="3521"/>
      <c r="CV6" s="3521"/>
      <c r="CW6" s="3521"/>
      <c r="CX6" s="3521"/>
      <c r="CY6" s="3521"/>
      <c r="CZ6" s="3521"/>
      <c r="DA6" s="3521"/>
      <c r="DB6" s="3521"/>
      <c r="DC6" s="3521"/>
      <c r="DD6" s="3521"/>
      <c r="DE6" s="3521"/>
      <c r="DF6" s="3521"/>
      <c r="DG6" s="3521"/>
      <c r="DH6" s="3521"/>
      <c r="DI6" s="3521"/>
      <c r="DJ6" s="3521"/>
      <c r="DK6" s="3521"/>
      <c r="DL6" s="3521"/>
      <c r="DM6" s="3521"/>
      <c r="DN6" s="3521"/>
      <c r="DO6" s="3521"/>
      <c r="DP6" s="3521"/>
      <c r="DQ6" s="3521"/>
      <c r="DR6" s="3521"/>
      <c r="DS6" s="3521"/>
      <c r="DT6" s="3521"/>
      <c r="DU6" s="3521"/>
      <c r="DV6" s="3521"/>
      <c r="DW6" s="3521"/>
      <c r="DX6" s="3521"/>
      <c r="DY6" s="3521"/>
      <c r="DZ6" s="3521"/>
      <c r="EA6" s="3521"/>
      <c r="EB6" s="3521"/>
      <c r="EC6" s="3521"/>
      <c r="ED6" s="3521"/>
      <c r="EE6" s="3521"/>
      <c r="EF6" s="3521"/>
      <c r="EG6" s="3521"/>
      <c r="EH6" s="3521"/>
      <c r="EI6" s="3521"/>
      <c r="EJ6" s="3521"/>
      <c r="EK6" s="3521"/>
      <c r="EL6" s="3521"/>
      <c r="EM6" s="3521"/>
      <c r="EN6" s="3521"/>
      <c r="EO6" s="3521"/>
      <c r="EP6" s="3521"/>
      <c r="EQ6" s="3521"/>
      <c r="ER6" s="3521"/>
      <c r="ES6" s="3521"/>
      <c r="ET6" s="3521"/>
      <c r="EU6" s="3521"/>
      <c r="EV6" s="3521"/>
      <c r="EW6" s="3521"/>
      <c r="EX6" s="3521"/>
      <c r="EY6" s="3521"/>
      <c r="EZ6" s="3521"/>
      <c r="FA6" s="3521"/>
      <c r="FB6" s="3521"/>
      <c r="FC6" s="3521"/>
      <c r="FD6" s="3521"/>
      <c r="FE6" s="3521"/>
      <c r="FF6" s="3521"/>
      <c r="FG6" s="3521"/>
      <c r="FH6" s="3521"/>
      <c r="FI6" s="3521"/>
      <c r="FJ6" s="3521"/>
      <c r="FK6" s="3521"/>
      <c r="FL6" s="3521"/>
      <c r="FM6" s="3521"/>
      <c r="FN6" s="3521"/>
      <c r="FO6" s="3521"/>
      <c r="FP6" s="3521"/>
      <c r="FQ6" s="3521"/>
      <c r="FR6" s="3521"/>
      <c r="FS6" s="3521"/>
      <c r="FT6" s="3521"/>
      <c r="FU6" s="3521"/>
      <c r="FV6" s="3521"/>
      <c r="FW6" s="3521"/>
      <c r="FX6" s="3521"/>
      <c r="FY6" s="3521"/>
      <c r="FZ6" s="3521"/>
      <c r="GA6" s="3521"/>
      <c r="GB6" s="3521"/>
      <c r="GC6" s="3521"/>
      <c r="GD6" s="3521"/>
      <c r="GE6" s="3521"/>
      <c r="GF6" s="3521"/>
      <c r="GG6" s="3521"/>
      <c r="GH6" s="3521"/>
      <c r="GI6" s="3521"/>
      <c r="GJ6" s="3521"/>
      <c r="GK6" s="3521"/>
      <c r="GL6" s="3521"/>
      <c r="GM6" s="3521"/>
      <c r="GN6" s="3521"/>
      <c r="GO6" s="3521"/>
      <c r="GP6" s="3521"/>
      <c r="GQ6" s="3521"/>
      <c r="GR6" s="3521"/>
      <c r="GS6" s="3521"/>
      <c r="GT6" s="3521"/>
      <c r="GU6" s="3521"/>
      <c r="GV6" s="3521"/>
      <c r="GW6" s="3521"/>
      <c r="GX6" s="3521"/>
      <c r="GY6" s="3521"/>
      <c r="GZ6" s="3521"/>
      <c r="HA6" s="3521"/>
      <c r="HB6" s="3521"/>
      <c r="HC6" s="3521"/>
      <c r="HD6" s="3521"/>
      <c r="HE6" s="3521"/>
      <c r="HF6" s="3521"/>
      <c r="HG6" s="3521"/>
      <c r="HH6" s="3521"/>
      <c r="HI6" s="3521"/>
      <c r="HJ6" s="3521"/>
      <c r="HK6" s="3521"/>
      <c r="HL6" s="3521"/>
      <c r="HM6" s="3521"/>
      <c r="HN6" s="3521"/>
      <c r="HO6" s="3521"/>
      <c r="HP6" s="3521"/>
      <c r="HQ6" s="3521"/>
      <c r="HR6" s="3521"/>
      <c r="HS6" s="3521"/>
      <c r="HT6" s="3521"/>
      <c r="HU6" s="3521"/>
      <c r="HV6" s="3521"/>
      <c r="HW6" s="3521"/>
      <c r="HX6" s="3521"/>
      <c r="HY6" s="3521"/>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20"/>
      <c r="LH6" s="3520"/>
      <c r="LI6" s="3520"/>
      <c r="LJ6" s="3520"/>
      <c r="LK6" s="3520"/>
      <c r="LL6" s="3520"/>
      <c r="LM6" s="3520"/>
      <c r="LN6" s="3520"/>
      <c r="LO6" s="3520"/>
      <c r="LP6" s="3520"/>
      <c r="LQ6" s="3520"/>
      <c r="LR6" s="3520"/>
      <c r="LS6" s="3520"/>
      <c r="LT6" s="3520"/>
      <c r="LU6" s="3520"/>
      <c r="LV6" s="3520"/>
      <c r="LW6" s="3520"/>
      <c r="LX6" s="3520"/>
      <c r="LY6" s="3520"/>
      <c r="LZ6" s="3520"/>
      <c r="MA6" s="3520"/>
      <c r="MB6" s="3520"/>
      <c r="MC6" s="3520"/>
      <c r="MD6" s="3520"/>
      <c r="ME6" s="3520"/>
      <c r="MF6" s="3520"/>
      <c r="MG6" s="3520"/>
      <c r="MH6" s="3520"/>
      <c r="MI6" s="3520"/>
      <c r="MJ6" s="3520"/>
      <c r="MK6" s="3564" t="s">
        <v>2958</v>
      </c>
      <c r="ML6" s="3564" t="s">
        <v>2959</v>
      </c>
      <c r="MM6" s="3564" t="s">
        <v>2960</v>
      </c>
      <c r="MN6" s="3564" t="s">
        <v>2961</v>
      </c>
      <c r="MO6" s="3564" t="s">
        <v>2962</v>
      </c>
      <c r="MP6" s="3520" t="s">
        <v>4177</v>
      </c>
      <c r="MQ6" s="3520" t="s">
        <v>4178</v>
      </c>
      <c r="MR6" s="3520" t="s">
        <v>4179</v>
      </c>
      <c r="MS6" s="3520" t="s">
        <v>4180</v>
      </c>
      <c r="MT6" s="3520" t="s">
        <v>4181</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3"/>
      <c r="B7" s="23" t="s">
        <v>3996</v>
      </c>
      <c r="E7" s="4"/>
      <c r="G7" s="1187" t="s">
        <v>2645</v>
      </c>
      <c r="I7" s="3522" t="s">
        <v>3939</v>
      </c>
      <c r="J7" s="674" t="s">
        <v>741</v>
      </c>
      <c r="K7" s="674" t="s">
        <v>3099</v>
      </c>
      <c r="L7" s="3536"/>
      <c r="M7" s="3536"/>
      <c r="N7" s="3536"/>
      <c r="O7" s="1630" t="s">
        <v>3976</v>
      </c>
      <c r="P7" s="1458">
        <v>45383</v>
      </c>
      <c r="Q7" s="3537"/>
      <c r="R7" s="3524" t="s">
        <v>2451</v>
      </c>
      <c r="S7" s="3524"/>
      <c r="X7" s="3521"/>
      <c r="Y7" s="3521"/>
      <c r="Z7" s="3521"/>
      <c r="AA7" s="3521"/>
      <c r="AB7" s="3521"/>
      <c r="AC7" s="3521"/>
      <c r="AD7" s="3521"/>
      <c r="AE7" s="3521"/>
      <c r="AF7" s="3521"/>
      <c r="AG7" s="3521"/>
      <c r="AH7" s="3521"/>
      <c r="AI7" s="3521"/>
      <c r="AJ7" s="3521"/>
      <c r="AK7" s="3521"/>
      <c r="AL7" s="3521"/>
      <c r="AM7" s="3521"/>
      <c r="AN7" s="3521"/>
      <c r="AO7" s="3521"/>
      <c r="AP7" s="3521"/>
      <c r="AQ7" s="3521"/>
      <c r="AR7" s="3521"/>
      <c r="AS7" s="3521"/>
      <c r="AT7" s="3521"/>
      <c r="AU7" s="3521"/>
      <c r="AV7" s="3521"/>
      <c r="AW7" s="3521"/>
      <c r="AX7" s="3521"/>
      <c r="AY7" s="3521"/>
      <c r="AZ7" s="3521"/>
      <c r="BA7" s="3521"/>
      <c r="BB7" s="3521"/>
      <c r="BC7" s="3521"/>
      <c r="BD7" s="3521"/>
      <c r="BE7" s="3521"/>
      <c r="BF7" s="3521"/>
      <c r="BG7" s="3521"/>
      <c r="BH7" s="3521"/>
      <c r="BI7" s="3521"/>
      <c r="BJ7" s="3521"/>
      <c r="BK7" s="3521"/>
      <c r="BL7" s="3521"/>
      <c r="BM7" s="3521"/>
      <c r="BN7" s="3521"/>
      <c r="BO7" s="3521"/>
      <c r="BP7" s="3521"/>
      <c r="BQ7" s="3521"/>
      <c r="BR7" s="3521"/>
      <c r="BS7" s="3521"/>
      <c r="BT7" s="3521"/>
      <c r="BU7" s="3521"/>
      <c r="BV7" s="3521"/>
      <c r="BW7" s="3521"/>
      <c r="BX7" s="3521"/>
      <c r="BY7" s="3521"/>
      <c r="BZ7" s="3521"/>
      <c r="CA7" s="3521"/>
      <c r="CB7" s="3521"/>
      <c r="CC7" s="3521"/>
      <c r="CD7" s="3521"/>
      <c r="CE7" s="3521"/>
      <c r="CF7" s="3521"/>
      <c r="CG7" s="3521"/>
      <c r="CH7" s="3521"/>
      <c r="CI7" s="3521"/>
      <c r="CJ7" s="3521"/>
      <c r="CK7" s="3521"/>
      <c r="CL7" s="3521"/>
      <c r="CM7" s="3521"/>
      <c r="CN7" s="3521"/>
      <c r="CO7" s="3521"/>
      <c r="CP7" s="3521"/>
      <c r="CQ7" s="3521"/>
      <c r="CR7" s="3521"/>
      <c r="CS7" s="3521"/>
      <c r="CT7" s="3521"/>
      <c r="CU7" s="3521"/>
      <c r="CV7" s="3521"/>
      <c r="CW7" s="3521"/>
      <c r="CX7" s="3521"/>
      <c r="CY7" s="3521"/>
      <c r="CZ7" s="3521"/>
      <c r="DA7" s="3521"/>
      <c r="DB7" s="3521"/>
      <c r="DC7" s="3521"/>
      <c r="DD7" s="3521"/>
      <c r="DE7" s="3521"/>
      <c r="DF7" s="3521"/>
      <c r="DG7" s="3521"/>
      <c r="DH7" s="3521"/>
      <c r="DI7" s="3521"/>
      <c r="DJ7" s="3521"/>
      <c r="DK7" s="3521"/>
      <c r="DL7" s="3521"/>
      <c r="DM7" s="3521"/>
      <c r="DN7" s="3521"/>
      <c r="DO7" s="3521"/>
      <c r="DP7" s="3521"/>
      <c r="DQ7" s="3521"/>
      <c r="DR7" s="3521"/>
      <c r="DS7" s="3521"/>
      <c r="DT7" s="3521"/>
      <c r="DU7" s="3521"/>
      <c r="DV7" s="3521"/>
      <c r="DW7" s="3521"/>
      <c r="DX7" s="3521"/>
      <c r="DY7" s="3521"/>
      <c r="DZ7" s="3521"/>
      <c r="EA7" s="3521"/>
      <c r="EB7" s="3521"/>
      <c r="EC7" s="3521"/>
      <c r="ED7" s="3521"/>
      <c r="EE7" s="3521"/>
      <c r="EF7" s="3521"/>
      <c r="EG7" s="3521"/>
      <c r="EH7" s="3521"/>
      <c r="EI7" s="3521"/>
      <c r="EJ7" s="3521"/>
      <c r="EK7" s="3521"/>
      <c r="EL7" s="3521"/>
      <c r="EM7" s="3521"/>
      <c r="EN7" s="3521"/>
      <c r="EO7" s="3521"/>
      <c r="EP7" s="3521"/>
      <c r="EQ7" s="3521"/>
      <c r="ER7" s="3521"/>
      <c r="ES7" s="3521"/>
      <c r="ET7" s="3521"/>
      <c r="EU7" s="3521"/>
      <c r="EV7" s="3521"/>
      <c r="EW7" s="3521"/>
      <c r="EX7" s="3521"/>
      <c r="EY7" s="3521"/>
      <c r="EZ7" s="3521"/>
      <c r="FA7" s="3521"/>
      <c r="FB7" s="3521"/>
      <c r="FC7" s="3521"/>
      <c r="FD7" s="3521"/>
      <c r="FE7" s="3521"/>
      <c r="FF7" s="3521"/>
      <c r="FG7" s="3521"/>
      <c r="FH7" s="3521"/>
      <c r="FI7" s="3521"/>
      <c r="FJ7" s="3521"/>
      <c r="FK7" s="3521"/>
      <c r="FL7" s="3521"/>
      <c r="FM7" s="3521"/>
      <c r="FN7" s="3521"/>
      <c r="FO7" s="3521"/>
      <c r="FP7" s="3521"/>
      <c r="FQ7" s="3521"/>
      <c r="FR7" s="3521"/>
      <c r="FS7" s="3521"/>
      <c r="FT7" s="3521"/>
      <c r="FU7" s="3521"/>
      <c r="FV7" s="3521"/>
      <c r="FW7" s="3521"/>
      <c r="FX7" s="3521"/>
      <c r="FY7" s="3521"/>
      <c r="FZ7" s="3521"/>
      <c r="GA7" s="3521"/>
      <c r="GB7" s="3521"/>
      <c r="GC7" s="3521"/>
      <c r="GD7" s="3521"/>
      <c r="GE7" s="3521"/>
      <c r="GF7" s="3521"/>
      <c r="GG7" s="3521"/>
      <c r="GH7" s="3521"/>
      <c r="GI7" s="3521"/>
      <c r="GJ7" s="3521"/>
      <c r="GK7" s="3521"/>
      <c r="GL7" s="3521"/>
      <c r="GM7" s="3521"/>
      <c r="GN7" s="3521"/>
      <c r="GO7" s="3521"/>
      <c r="GP7" s="3521"/>
      <c r="GQ7" s="3521"/>
      <c r="GR7" s="3521"/>
      <c r="GS7" s="3521"/>
      <c r="GT7" s="3521"/>
      <c r="GU7" s="3521"/>
      <c r="GV7" s="3521"/>
      <c r="GW7" s="3521"/>
      <c r="GX7" s="3521"/>
      <c r="GY7" s="3521"/>
      <c r="GZ7" s="3521"/>
      <c r="HA7" s="3521"/>
      <c r="HB7" s="3521"/>
      <c r="HC7" s="3521"/>
      <c r="HD7" s="3521"/>
      <c r="HE7" s="3521"/>
      <c r="HF7" s="3521"/>
      <c r="HG7" s="3521"/>
      <c r="HH7" s="3521"/>
      <c r="HI7" s="3521"/>
      <c r="HJ7" s="3521"/>
      <c r="HK7" s="3521"/>
      <c r="HL7" s="3521"/>
      <c r="HM7" s="3521"/>
      <c r="HN7" s="3521"/>
      <c r="HO7" s="3521"/>
      <c r="HP7" s="3521"/>
      <c r="HQ7" s="3521"/>
      <c r="HR7" s="3521"/>
      <c r="HS7" s="3521"/>
      <c r="HT7" s="3521"/>
      <c r="HU7" s="3521"/>
      <c r="HV7" s="3521"/>
      <c r="HW7" s="3521"/>
      <c r="HX7" s="3521"/>
      <c r="HY7" s="3521"/>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20"/>
      <c r="LH7" s="3520"/>
      <c r="LI7" s="3520"/>
      <c r="LJ7" s="3520"/>
      <c r="LK7" s="3520"/>
      <c r="LL7" s="3520"/>
      <c r="LM7" s="3520"/>
      <c r="LN7" s="3520"/>
      <c r="LO7" s="3520"/>
      <c r="LP7" s="3520"/>
      <c r="LQ7" s="3520"/>
      <c r="LR7" s="3520"/>
      <c r="LS7" s="3520"/>
      <c r="LT7" s="3520"/>
      <c r="LU7" s="3520"/>
      <c r="LV7" s="3520"/>
      <c r="LW7" s="3520"/>
      <c r="LX7" s="3520"/>
      <c r="LY7" s="3520"/>
      <c r="LZ7" s="3520"/>
      <c r="MA7" s="3520"/>
      <c r="MB7" s="3520"/>
      <c r="MC7" s="3520"/>
      <c r="MD7" s="3520"/>
      <c r="ME7" s="3520"/>
      <c r="MF7" s="3520"/>
      <c r="MG7" s="3520"/>
      <c r="MH7" s="3520"/>
      <c r="MI7" s="3520"/>
      <c r="MJ7" s="3520"/>
      <c r="MK7" s="3564"/>
      <c r="ML7" s="3564"/>
      <c r="MM7" s="3564"/>
      <c r="MN7" s="3564"/>
      <c r="MO7" s="3564"/>
      <c r="MP7" s="3520"/>
      <c r="MQ7" s="3520"/>
      <c r="MR7" s="3520"/>
      <c r="MS7" s="3520"/>
      <c r="MT7" s="3520"/>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3"/>
      <c r="B8" s="818" t="s">
        <v>3644</v>
      </c>
      <c r="C8" s="1"/>
      <c r="E8" s="1"/>
      <c r="F8" s="1"/>
      <c r="I8" s="3522"/>
      <c r="J8" s="674" t="s">
        <v>742</v>
      </c>
      <c r="K8" s="674" t="s">
        <v>3100</v>
      </c>
      <c r="L8" s="655"/>
      <c r="M8" s="655"/>
      <c r="N8" s="1628" t="s">
        <v>4376</v>
      </c>
      <c r="O8" s="3525" t="s">
        <v>5193</v>
      </c>
      <c r="P8" s="3526"/>
      <c r="Q8" s="3537"/>
      <c r="R8" s="656"/>
      <c r="S8" s="658" t="s">
        <v>2448</v>
      </c>
      <c r="T8" s="336"/>
      <c r="W8" s="337"/>
      <c r="X8" s="3521"/>
      <c r="Y8" s="3521"/>
      <c r="Z8" s="3521"/>
      <c r="AA8" s="3521"/>
      <c r="AB8" s="3521"/>
      <c r="AC8" s="3521"/>
      <c r="AD8" s="3521"/>
      <c r="AE8" s="3521"/>
      <c r="AF8" s="3521"/>
      <c r="AG8" s="3521"/>
      <c r="AH8" s="3521"/>
      <c r="AI8" s="3521"/>
      <c r="AJ8" s="3521"/>
      <c r="AK8" s="3521"/>
      <c r="AL8" s="3521"/>
      <c r="AM8" s="3521"/>
      <c r="AN8" s="3521"/>
      <c r="AO8" s="3521"/>
      <c r="AP8" s="3521"/>
      <c r="AQ8" s="3521"/>
      <c r="AR8" s="3521"/>
      <c r="AS8" s="3521"/>
      <c r="AT8" s="3521"/>
      <c r="AU8" s="3521"/>
      <c r="AV8" s="3521"/>
      <c r="AW8" s="3521"/>
      <c r="AX8" s="3521"/>
      <c r="AY8" s="3521"/>
      <c r="AZ8" s="3521"/>
      <c r="BA8" s="3521"/>
      <c r="BB8" s="3521"/>
      <c r="BC8" s="3521"/>
      <c r="BD8" s="3521"/>
      <c r="BE8" s="3521"/>
      <c r="BF8" s="3521"/>
      <c r="BG8" s="3521"/>
      <c r="BH8" s="3521"/>
      <c r="BI8" s="3521"/>
      <c r="BJ8" s="3521"/>
      <c r="BK8" s="3521"/>
      <c r="BL8" s="3521"/>
      <c r="BM8" s="3521"/>
      <c r="BN8" s="3521"/>
      <c r="BO8" s="3521"/>
      <c r="BP8" s="3521"/>
      <c r="BQ8" s="3521"/>
      <c r="BR8" s="3521"/>
      <c r="BS8" s="3521"/>
      <c r="BT8" s="3521"/>
      <c r="BU8" s="3521"/>
      <c r="BV8" s="3521"/>
      <c r="BW8" s="3521"/>
      <c r="BX8" s="3521"/>
      <c r="BY8" s="3521"/>
      <c r="BZ8" s="3521"/>
      <c r="CA8" s="3521"/>
      <c r="CB8" s="3521"/>
      <c r="CC8" s="3521"/>
      <c r="CD8" s="3521"/>
      <c r="CE8" s="3521"/>
      <c r="CF8" s="3521"/>
      <c r="CG8" s="3521"/>
      <c r="CH8" s="3521"/>
      <c r="CI8" s="3521"/>
      <c r="CJ8" s="3521"/>
      <c r="CK8" s="3521"/>
      <c r="CL8" s="3521"/>
      <c r="CM8" s="3521"/>
      <c r="CN8" s="3521"/>
      <c r="CO8" s="3521"/>
      <c r="CP8" s="3521"/>
      <c r="CQ8" s="3521"/>
      <c r="CR8" s="3521"/>
      <c r="CS8" s="3521"/>
      <c r="CT8" s="3521"/>
      <c r="CU8" s="3521"/>
      <c r="CV8" s="3521"/>
      <c r="CW8" s="3521"/>
      <c r="CX8" s="3521"/>
      <c r="CY8" s="3521"/>
      <c r="CZ8" s="3521"/>
      <c r="DA8" s="3521"/>
      <c r="DB8" s="3521"/>
      <c r="DC8" s="3521"/>
      <c r="DD8" s="3521"/>
      <c r="DE8" s="3521"/>
      <c r="DF8" s="3521"/>
      <c r="DG8" s="3521"/>
      <c r="DH8" s="3521"/>
      <c r="DI8" s="3521"/>
      <c r="DJ8" s="3521"/>
      <c r="DK8" s="3521"/>
      <c r="DL8" s="3521"/>
      <c r="DM8" s="3521"/>
      <c r="DN8" s="3521"/>
      <c r="DO8" s="3521"/>
      <c r="DP8" s="3521"/>
      <c r="DQ8" s="3521"/>
      <c r="DR8" s="3521"/>
      <c r="DS8" s="3521"/>
      <c r="DT8" s="3521"/>
      <c r="DU8" s="3521"/>
      <c r="DV8" s="3521"/>
      <c r="DW8" s="3521"/>
      <c r="DX8" s="3521"/>
      <c r="DY8" s="3521"/>
      <c r="DZ8" s="3521"/>
      <c r="EA8" s="3521"/>
      <c r="EB8" s="3521"/>
      <c r="EC8" s="3521"/>
      <c r="ED8" s="3521"/>
      <c r="EE8" s="3521"/>
      <c r="EF8" s="3521"/>
      <c r="EG8" s="3521"/>
      <c r="EH8" s="3521"/>
      <c r="EI8" s="3521"/>
      <c r="EJ8" s="3521"/>
      <c r="EK8" s="3521"/>
      <c r="EL8" s="3521"/>
      <c r="EM8" s="3521"/>
      <c r="EN8" s="3521"/>
      <c r="EO8" s="3521"/>
      <c r="EP8" s="3521"/>
      <c r="EQ8" s="3521"/>
      <c r="ER8" s="3521"/>
      <c r="ES8" s="3521"/>
      <c r="ET8" s="3521"/>
      <c r="EU8" s="3521"/>
      <c r="EV8" s="3521"/>
      <c r="EW8" s="3521"/>
      <c r="EX8" s="3521"/>
      <c r="EY8" s="3521"/>
      <c r="EZ8" s="3521"/>
      <c r="FA8" s="3521"/>
      <c r="FB8" s="3521"/>
      <c r="FC8" s="3521"/>
      <c r="FD8" s="3521"/>
      <c r="FE8" s="3521"/>
      <c r="FF8" s="3521"/>
      <c r="FG8" s="3521"/>
      <c r="FH8" s="3521"/>
      <c r="FI8" s="3521"/>
      <c r="FJ8" s="3521"/>
      <c r="FK8" s="3521"/>
      <c r="FL8" s="3521"/>
      <c r="FM8" s="3521"/>
      <c r="FN8" s="3521"/>
      <c r="FO8" s="3521"/>
      <c r="FP8" s="3521"/>
      <c r="FQ8" s="3521"/>
      <c r="FR8" s="3521"/>
      <c r="FS8" s="3521"/>
      <c r="FT8" s="3521"/>
      <c r="FU8" s="3521"/>
      <c r="FV8" s="3521"/>
      <c r="FW8" s="3521"/>
      <c r="FX8" s="3521"/>
      <c r="FY8" s="3521"/>
      <c r="FZ8" s="3521"/>
      <c r="GA8" s="3521"/>
      <c r="GB8" s="3521"/>
      <c r="GC8" s="3521"/>
      <c r="GD8" s="3521"/>
      <c r="GE8" s="3521"/>
      <c r="GF8" s="3521"/>
      <c r="GG8" s="3521"/>
      <c r="GH8" s="3521"/>
      <c r="GI8" s="3521"/>
      <c r="GJ8" s="3521"/>
      <c r="GK8" s="3521"/>
      <c r="GL8" s="3521"/>
      <c r="GM8" s="3521"/>
      <c r="GN8" s="3521"/>
      <c r="GO8" s="3521"/>
      <c r="GP8" s="3521"/>
      <c r="GQ8" s="3521"/>
      <c r="GR8" s="3521"/>
      <c r="GS8" s="3521"/>
      <c r="GT8" s="3521"/>
      <c r="GU8" s="3521"/>
      <c r="GV8" s="3521"/>
      <c r="GW8" s="3521"/>
      <c r="GX8" s="3521"/>
      <c r="GY8" s="3521"/>
      <c r="GZ8" s="3521"/>
      <c r="HA8" s="3521"/>
      <c r="HB8" s="3521"/>
      <c r="HC8" s="3521"/>
      <c r="HD8" s="3521"/>
      <c r="HE8" s="3521"/>
      <c r="HF8" s="3521"/>
      <c r="HG8" s="3521"/>
      <c r="HH8" s="3521"/>
      <c r="HI8" s="3521"/>
      <c r="HJ8" s="3521"/>
      <c r="HK8" s="3521"/>
      <c r="HL8" s="3521"/>
      <c r="HM8" s="3521"/>
      <c r="HN8" s="3521"/>
      <c r="HO8" s="3521"/>
      <c r="HP8" s="3521"/>
      <c r="HQ8" s="3521"/>
      <c r="HR8" s="3521"/>
      <c r="HS8" s="3521"/>
      <c r="HT8" s="3521"/>
      <c r="HU8" s="3521"/>
      <c r="HV8" s="3521"/>
      <c r="HW8" s="3521"/>
      <c r="HX8" s="3521"/>
      <c r="HY8" s="3521"/>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20"/>
      <c r="LH8" s="3520"/>
      <c r="LI8" s="3520"/>
      <c r="LJ8" s="3520"/>
      <c r="LK8" s="3520"/>
      <c r="LL8" s="3520"/>
      <c r="LM8" s="3520"/>
      <c r="LN8" s="3520"/>
      <c r="LO8" s="3520"/>
      <c r="LP8" s="3520"/>
      <c r="LQ8" s="3520"/>
      <c r="LR8" s="3520"/>
      <c r="LS8" s="3520"/>
      <c r="LT8" s="3520"/>
      <c r="LU8" s="3520"/>
      <c r="LV8" s="3520"/>
      <c r="LW8" s="3520"/>
      <c r="LX8" s="3520"/>
      <c r="LY8" s="3520"/>
      <c r="LZ8" s="3520"/>
      <c r="MA8" s="3520"/>
      <c r="MB8" s="3520"/>
      <c r="MC8" s="3520"/>
      <c r="MD8" s="3520"/>
      <c r="ME8" s="3520"/>
      <c r="MF8" s="3520"/>
      <c r="MG8" s="3520"/>
      <c r="MH8" s="3520"/>
      <c r="MI8" s="3520"/>
      <c r="MJ8" s="3520"/>
      <c r="MK8" s="3564"/>
      <c r="ML8" s="3564"/>
      <c r="MM8" s="3564"/>
      <c r="MN8" s="3564"/>
      <c r="MO8" s="3564"/>
      <c r="MP8" s="3520"/>
      <c r="MQ8" s="3520"/>
      <c r="MR8" s="3520"/>
      <c r="MS8" s="3520"/>
      <c r="MT8" s="3520"/>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3"/>
      <c r="B9" s="1050" t="s">
        <v>3645</v>
      </c>
      <c r="C9" s="674" t="s">
        <v>165</v>
      </c>
      <c r="D9" s="674" t="s">
        <v>509</v>
      </c>
      <c r="E9" s="674" t="s">
        <v>1380</v>
      </c>
      <c r="F9" s="674" t="s">
        <v>1380</v>
      </c>
      <c r="G9" s="3522" t="s">
        <v>3992</v>
      </c>
      <c r="H9" s="817" t="s">
        <v>3218</v>
      </c>
      <c r="I9" s="3522"/>
      <c r="J9" s="3527" t="s">
        <v>3986</v>
      </c>
      <c r="K9" s="674" t="s">
        <v>2211</v>
      </c>
      <c r="L9" s="3529" t="s">
        <v>139</v>
      </c>
      <c r="M9" s="3530"/>
      <c r="N9" s="674" t="s">
        <v>2178</v>
      </c>
      <c r="O9" s="674" t="s">
        <v>4379</v>
      </c>
      <c r="P9" s="3531" t="s">
        <v>4141</v>
      </c>
      <c r="Q9" s="3537"/>
      <c r="R9" s="674" t="s">
        <v>2447</v>
      </c>
      <c r="S9" s="674" t="s">
        <v>2449</v>
      </c>
      <c r="T9" s="338"/>
      <c r="W9" s="339"/>
      <c r="X9" s="3521"/>
      <c r="Y9" s="3521"/>
      <c r="Z9" s="3521"/>
      <c r="AA9" s="3521"/>
      <c r="AB9" s="3521"/>
      <c r="AC9" s="3521"/>
      <c r="AD9" s="3521"/>
      <c r="AE9" s="3521"/>
      <c r="AF9" s="3521"/>
      <c r="AG9" s="3521"/>
      <c r="AH9" s="3521"/>
      <c r="AI9" s="3521"/>
      <c r="AJ9" s="3521"/>
      <c r="AK9" s="3521"/>
      <c r="AL9" s="3521"/>
      <c r="AM9" s="3521"/>
      <c r="AN9" s="3521"/>
      <c r="AO9" s="3521"/>
      <c r="AP9" s="3521"/>
      <c r="AQ9" s="3521"/>
      <c r="AR9" s="3521"/>
      <c r="AS9" s="3521"/>
      <c r="AT9" s="3521"/>
      <c r="AU9" s="3521"/>
      <c r="AV9" s="3521"/>
      <c r="AW9" s="3521"/>
      <c r="AX9" s="3521"/>
      <c r="AY9" s="3521"/>
      <c r="AZ9" s="3521"/>
      <c r="BA9" s="3521"/>
      <c r="BB9" s="3521"/>
      <c r="BC9" s="3521"/>
      <c r="BD9" s="3521"/>
      <c r="BE9" s="3521"/>
      <c r="BF9" s="3521"/>
      <c r="BG9" s="3521"/>
      <c r="BH9" s="3521"/>
      <c r="BI9" s="3521"/>
      <c r="BJ9" s="3521"/>
      <c r="BK9" s="3521"/>
      <c r="BL9" s="3521"/>
      <c r="BM9" s="3521"/>
      <c r="BN9" s="3521"/>
      <c r="BO9" s="3521"/>
      <c r="BP9" s="3521"/>
      <c r="BQ9" s="3521"/>
      <c r="BR9" s="3521"/>
      <c r="BS9" s="3521"/>
      <c r="BT9" s="3521"/>
      <c r="BU9" s="3521"/>
      <c r="BV9" s="3521"/>
      <c r="BW9" s="3521"/>
      <c r="BX9" s="3521"/>
      <c r="BY9" s="3521"/>
      <c r="BZ9" s="3521"/>
      <c r="CA9" s="3521"/>
      <c r="CB9" s="3521"/>
      <c r="CC9" s="3521"/>
      <c r="CD9" s="3521"/>
      <c r="CE9" s="3521"/>
      <c r="CF9" s="3521"/>
      <c r="CG9" s="3521"/>
      <c r="CH9" s="3521"/>
      <c r="CI9" s="3521"/>
      <c r="CJ9" s="3521"/>
      <c r="CK9" s="3521"/>
      <c r="CL9" s="3521"/>
      <c r="CM9" s="3521"/>
      <c r="CN9" s="3521"/>
      <c r="CO9" s="3521"/>
      <c r="CP9" s="3521"/>
      <c r="CQ9" s="3521"/>
      <c r="CR9" s="3521"/>
      <c r="CS9" s="3521"/>
      <c r="CT9" s="3521"/>
      <c r="CU9" s="3521"/>
      <c r="CV9" s="3521"/>
      <c r="CW9" s="3521"/>
      <c r="CX9" s="3521"/>
      <c r="CY9" s="3521"/>
      <c r="CZ9" s="3521"/>
      <c r="DA9" s="3521"/>
      <c r="DB9" s="3521"/>
      <c r="DC9" s="3521"/>
      <c r="DD9" s="3521"/>
      <c r="DE9" s="3521"/>
      <c r="DF9" s="3521"/>
      <c r="DG9" s="3521"/>
      <c r="DH9" s="3521"/>
      <c r="DI9" s="3521"/>
      <c r="DJ9" s="3521"/>
      <c r="DK9" s="3521"/>
      <c r="DL9" s="3521"/>
      <c r="DM9" s="3521"/>
      <c r="DN9" s="3521"/>
      <c r="DO9" s="3521"/>
      <c r="DP9" s="3521"/>
      <c r="DQ9" s="3521"/>
      <c r="DR9" s="3521"/>
      <c r="DS9" s="3521"/>
      <c r="DT9" s="3521"/>
      <c r="DU9" s="3521"/>
      <c r="DV9" s="3521"/>
      <c r="DW9" s="3521"/>
      <c r="DX9" s="3521"/>
      <c r="DY9" s="3521"/>
      <c r="DZ9" s="3521"/>
      <c r="EA9" s="3521"/>
      <c r="EB9" s="3521"/>
      <c r="EC9" s="3521"/>
      <c r="ED9" s="3521"/>
      <c r="EE9" s="3521"/>
      <c r="EF9" s="3521"/>
      <c r="EG9" s="3521"/>
      <c r="EH9" s="3521"/>
      <c r="EI9" s="3521"/>
      <c r="EJ9" s="3521"/>
      <c r="EK9" s="3521"/>
      <c r="EL9" s="3521"/>
      <c r="EM9" s="3521"/>
      <c r="EN9" s="3521"/>
      <c r="EO9" s="3521"/>
      <c r="EP9" s="3521"/>
      <c r="EQ9" s="3521"/>
      <c r="ER9" s="3521"/>
      <c r="ES9" s="3521"/>
      <c r="ET9" s="3521"/>
      <c r="EU9" s="3521"/>
      <c r="EV9" s="3521"/>
      <c r="EW9" s="3521"/>
      <c r="EX9" s="3521"/>
      <c r="EY9" s="3521"/>
      <c r="EZ9" s="3521"/>
      <c r="FA9" s="3521"/>
      <c r="FB9" s="3521"/>
      <c r="FC9" s="3521"/>
      <c r="FD9" s="3521"/>
      <c r="FE9" s="3521"/>
      <c r="FF9" s="3521"/>
      <c r="FG9" s="3521"/>
      <c r="FH9" s="3521"/>
      <c r="FI9" s="3521"/>
      <c r="FJ9" s="3521"/>
      <c r="FK9" s="3521"/>
      <c r="FL9" s="3521"/>
      <c r="FM9" s="3521"/>
      <c r="FN9" s="3521"/>
      <c r="FO9" s="3521"/>
      <c r="FP9" s="3521"/>
      <c r="FQ9" s="3521"/>
      <c r="FR9" s="3521"/>
      <c r="FS9" s="3521"/>
      <c r="FT9" s="3521"/>
      <c r="FU9" s="3521"/>
      <c r="FV9" s="3521"/>
      <c r="FW9" s="3521"/>
      <c r="FX9" s="3521"/>
      <c r="FY9" s="3521"/>
      <c r="FZ9" s="3521"/>
      <c r="GA9" s="3521"/>
      <c r="GB9" s="3521"/>
      <c r="GC9" s="3521"/>
      <c r="GD9" s="3521"/>
      <c r="GE9" s="3521"/>
      <c r="GF9" s="3521"/>
      <c r="GG9" s="3521"/>
      <c r="GH9" s="3521"/>
      <c r="GI9" s="3521"/>
      <c r="GJ9" s="3521"/>
      <c r="GK9" s="3521"/>
      <c r="GL9" s="3521"/>
      <c r="GM9" s="3521"/>
      <c r="GN9" s="3521"/>
      <c r="GO9" s="3521"/>
      <c r="GP9" s="3521"/>
      <c r="GQ9" s="3521"/>
      <c r="GR9" s="3521"/>
      <c r="GS9" s="3521"/>
      <c r="GT9" s="3521"/>
      <c r="GU9" s="3521"/>
      <c r="GV9" s="3521"/>
      <c r="GW9" s="3521"/>
      <c r="GX9" s="3521"/>
      <c r="GY9" s="3521"/>
      <c r="GZ9" s="3521"/>
      <c r="HA9" s="3521"/>
      <c r="HB9" s="3521"/>
      <c r="HC9" s="3521"/>
      <c r="HD9" s="3521"/>
      <c r="HE9" s="3521"/>
      <c r="HF9" s="3521"/>
      <c r="HG9" s="3521"/>
      <c r="HH9" s="3521"/>
      <c r="HI9" s="3521"/>
      <c r="HJ9" s="3521"/>
      <c r="HK9" s="3521"/>
      <c r="HL9" s="3521"/>
      <c r="HM9" s="3521"/>
      <c r="HN9" s="3521"/>
      <c r="HO9" s="3521"/>
      <c r="HP9" s="3521"/>
      <c r="HQ9" s="3521"/>
      <c r="HR9" s="3521"/>
      <c r="HS9" s="3521"/>
      <c r="HT9" s="3521"/>
      <c r="HU9" s="3521"/>
      <c r="HV9" s="3521"/>
      <c r="HW9" s="3521"/>
      <c r="HX9" s="3521"/>
      <c r="HY9" s="3521"/>
      <c r="HZ9" s="3521" t="s">
        <v>1369</v>
      </c>
      <c r="IA9" s="869" t="s">
        <v>2239</v>
      </c>
      <c r="IB9" s="869" t="s">
        <v>2240</v>
      </c>
      <c r="IC9" s="869" t="s">
        <v>2241</v>
      </c>
      <c r="ID9" s="869" t="s">
        <v>2242</v>
      </c>
      <c r="IE9" s="3521" t="s">
        <v>2293</v>
      </c>
      <c r="IF9" s="3521" t="s">
        <v>2293</v>
      </c>
      <c r="IG9" s="3521" t="s">
        <v>2293</v>
      </c>
      <c r="IH9" s="3521" t="s">
        <v>2293</v>
      </c>
      <c r="II9" s="3521" t="s">
        <v>2293</v>
      </c>
      <c r="IJ9" s="3521" t="s">
        <v>2929</v>
      </c>
      <c r="IK9" s="3521" t="s">
        <v>2929</v>
      </c>
      <c r="IL9" s="3521" t="s">
        <v>2929</v>
      </c>
      <c r="IM9" s="3521" t="s">
        <v>2929</v>
      </c>
      <c r="IN9" s="3521" t="s">
        <v>2929</v>
      </c>
      <c r="IO9" s="869" t="s">
        <v>525</v>
      </c>
      <c r="IP9" s="869" t="s">
        <v>2239</v>
      </c>
      <c r="IQ9" s="869" t="s">
        <v>2240</v>
      </c>
      <c r="IR9" s="869" t="s">
        <v>2241</v>
      </c>
      <c r="IS9" s="869" t="s">
        <v>2242</v>
      </c>
      <c r="IT9" s="869" t="s">
        <v>525</v>
      </c>
      <c r="IU9" s="869" t="s">
        <v>2239</v>
      </c>
      <c r="IV9" s="869" t="s">
        <v>2240</v>
      </c>
      <c r="IW9" s="869" t="s">
        <v>2241</v>
      </c>
      <c r="IX9" s="869" t="s">
        <v>2242</v>
      </c>
      <c r="IY9" s="3521" t="s">
        <v>4182</v>
      </c>
      <c r="IZ9" s="3521" t="s">
        <v>4182</v>
      </c>
      <c r="JA9" s="3521" t="s">
        <v>4182</v>
      </c>
      <c r="JB9" s="3521" t="s">
        <v>4182</v>
      </c>
      <c r="JC9" s="3521" t="s">
        <v>4182</v>
      </c>
      <c r="JD9" s="3521" t="s">
        <v>4183</v>
      </c>
      <c r="JE9" s="3521" t="s">
        <v>4183</v>
      </c>
      <c r="JF9" s="3521" t="s">
        <v>4183</v>
      </c>
      <c r="JG9" s="3521" t="s">
        <v>4183</v>
      </c>
      <c r="JH9" s="3521" t="s">
        <v>4183</v>
      </c>
      <c r="JI9" s="3521" t="s">
        <v>4185</v>
      </c>
      <c r="JJ9" s="3521" t="s">
        <v>4185</v>
      </c>
      <c r="JK9" s="3521" t="s">
        <v>4185</v>
      </c>
      <c r="JL9" s="3521" t="s">
        <v>4185</v>
      </c>
      <c r="JM9" s="3521" t="s">
        <v>4185</v>
      </c>
      <c r="JN9" s="3521" t="s">
        <v>4186</v>
      </c>
      <c r="JO9" s="3521" t="s">
        <v>4186</v>
      </c>
      <c r="JP9" s="3521" t="s">
        <v>4186</v>
      </c>
      <c r="JQ9" s="3521" t="s">
        <v>4186</v>
      </c>
      <c r="JR9" s="3521" t="s">
        <v>4186</v>
      </c>
      <c r="JS9" s="3521" t="s">
        <v>4187</v>
      </c>
      <c r="JT9" s="3521" t="s">
        <v>4187</v>
      </c>
      <c r="JU9" s="3521" t="s">
        <v>4187</v>
      </c>
      <c r="JV9" s="3521" t="s">
        <v>4187</v>
      </c>
      <c r="JW9" s="3521" t="s">
        <v>4187</v>
      </c>
      <c r="JX9" s="3521" t="s">
        <v>4380</v>
      </c>
      <c r="JY9" s="3521" t="s">
        <v>4380</v>
      </c>
      <c r="JZ9" s="3521" t="s">
        <v>4380</v>
      </c>
      <c r="KA9" s="3521" t="s">
        <v>4380</v>
      </c>
      <c r="KB9" s="3521" t="s">
        <v>4380</v>
      </c>
      <c r="KC9" s="3521" t="s">
        <v>4829</v>
      </c>
      <c r="KD9" s="3521" t="s">
        <v>4829</v>
      </c>
      <c r="KE9" s="3521" t="s">
        <v>4829</v>
      </c>
      <c r="KF9" s="3521" t="s">
        <v>4829</v>
      </c>
      <c r="KG9" s="3521" t="s">
        <v>4829</v>
      </c>
      <c r="KH9" s="3521" t="s">
        <v>4830</v>
      </c>
      <c r="KI9" s="3520" t="s">
        <v>4543</v>
      </c>
      <c r="KJ9" s="3520" t="s">
        <v>4543</v>
      </c>
      <c r="KK9" s="3520" t="s">
        <v>4543</v>
      </c>
      <c r="KL9" s="3520" t="s">
        <v>4543</v>
      </c>
      <c r="KM9" s="3520" t="s">
        <v>4189</v>
      </c>
      <c r="KN9" s="3520" t="s">
        <v>4189</v>
      </c>
      <c r="KO9" s="3520" t="s">
        <v>4189</v>
      </c>
      <c r="KP9" s="3520" t="s">
        <v>4189</v>
      </c>
      <c r="KQ9" s="3520" t="s">
        <v>4189</v>
      </c>
      <c r="KR9" s="3520" t="s">
        <v>4381</v>
      </c>
      <c r="KS9" s="3520" t="s">
        <v>4381</v>
      </c>
      <c r="KT9" s="3520" t="s">
        <v>4381</v>
      </c>
      <c r="KU9" s="3520" t="s">
        <v>4381</v>
      </c>
      <c r="KV9" s="3520" t="s">
        <v>4381</v>
      </c>
      <c r="KW9" s="3520" t="s">
        <v>4544</v>
      </c>
      <c r="KX9" s="3520" t="s">
        <v>4544</v>
      </c>
      <c r="KY9" s="3520" t="s">
        <v>4544</v>
      </c>
      <c r="KZ9" s="3520" t="s">
        <v>4544</v>
      </c>
      <c r="LA9" s="3520" t="s">
        <v>4544</v>
      </c>
      <c r="LB9" s="3520" t="s">
        <v>4545</v>
      </c>
      <c r="LC9" s="3520" t="s">
        <v>4545</v>
      </c>
      <c r="LD9" s="3520" t="s">
        <v>4545</v>
      </c>
      <c r="LE9" s="3520" t="s">
        <v>4545</v>
      </c>
      <c r="LF9" s="3520" t="s">
        <v>4545</v>
      </c>
      <c r="LG9" s="3520"/>
      <c r="LH9" s="3520"/>
      <c r="LI9" s="3520"/>
      <c r="LJ9" s="3520"/>
      <c r="LK9" s="3520"/>
      <c r="LL9" s="3520"/>
      <c r="LM9" s="3520"/>
      <c r="LN9" s="3520"/>
      <c r="LO9" s="3520"/>
      <c r="LP9" s="3520"/>
      <c r="LQ9" s="3520"/>
      <c r="LR9" s="3520"/>
      <c r="LS9" s="3520"/>
      <c r="LT9" s="3520"/>
      <c r="LU9" s="3520"/>
      <c r="LV9" s="3520"/>
      <c r="LW9" s="3520"/>
      <c r="LX9" s="3520"/>
      <c r="LY9" s="3520"/>
      <c r="LZ9" s="3520"/>
      <c r="MA9" s="3520"/>
      <c r="MB9" s="3520"/>
      <c r="MC9" s="3520"/>
      <c r="MD9" s="3520"/>
      <c r="ME9" s="3520"/>
      <c r="MF9" s="3520"/>
      <c r="MG9" s="3520"/>
      <c r="MH9" s="3520"/>
      <c r="MI9" s="3520"/>
      <c r="MJ9" s="3520"/>
      <c r="MK9" s="3564"/>
      <c r="ML9" s="3564"/>
      <c r="MM9" s="3564"/>
      <c r="MN9" s="3564"/>
      <c r="MO9" s="3564"/>
      <c r="MP9" s="3520"/>
      <c r="MQ9" s="3520"/>
      <c r="MR9" s="3520"/>
      <c r="MS9" s="3520"/>
      <c r="MT9" s="3520"/>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3"/>
      <c r="B10" s="1201" t="s">
        <v>3806</v>
      </c>
      <c r="C10" s="674" t="s">
        <v>164</v>
      </c>
      <c r="D10" s="674" t="s">
        <v>166</v>
      </c>
      <c r="E10" s="674" t="s">
        <v>1381</v>
      </c>
      <c r="F10" s="674" t="s">
        <v>1201</v>
      </c>
      <c r="G10" s="3523"/>
      <c r="H10" s="674" t="s">
        <v>3993</v>
      </c>
      <c r="I10" s="3523"/>
      <c r="J10" s="3528"/>
      <c r="K10" s="357" t="s">
        <v>334</v>
      </c>
      <c r="L10" s="674" t="s">
        <v>1430</v>
      </c>
      <c r="M10" s="674" t="s">
        <v>503</v>
      </c>
      <c r="N10" s="674" t="s">
        <v>1380</v>
      </c>
      <c r="O10" s="674" t="s">
        <v>4393</v>
      </c>
      <c r="P10" s="3532"/>
      <c r="Q10" s="3538"/>
      <c r="R10" s="674" t="s">
        <v>1382</v>
      </c>
      <c r="S10" s="674" t="s">
        <v>2450</v>
      </c>
      <c r="T10" s="10" t="s">
        <v>1706</v>
      </c>
      <c r="W10" s="10"/>
      <c r="X10" s="3521"/>
      <c r="Y10" s="3521"/>
      <c r="Z10" s="3521"/>
      <c r="AA10" s="3521"/>
      <c r="AB10" s="3521"/>
      <c r="AC10" s="3521"/>
      <c r="AD10" s="3521"/>
      <c r="AE10" s="3521"/>
      <c r="AF10" s="3521"/>
      <c r="AG10" s="3521"/>
      <c r="AH10" s="3521"/>
      <c r="AI10" s="3521"/>
      <c r="AJ10" s="3521"/>
      <c r="AK10" s="3521"/>
      <c r="AL10" s="3521"/>
      <c r="AM10" s="3521"/>
      <c r="AN10" s="3521"/>
      <c r="AO10" s="3521"/>
      <c r="AP10" s="3521"/>
      <c r="AQ10" s="3521"/>
      <c r="AR10" s="3521"/>
      <c r="AS10" s="3521"/>
      <c r="AT10" s="3521"/>
      <c r="AU10" s="3521"/>
      <c r="AV10" s="3521"/>
      <c r="AW10" s="3521"/>
      <c r="AX10" s="3521"/>
      <c r="AY10" s="3521"/>
      <c r="AZ10" s="3521"/>
      <c r="BA10" s="3521"/>
      <c r="BB10" s="3521"/>
      <c r="BC10" s="3521"/>
      <c r="BD10" s="3521"/>
      <c r="BE10" s="3521"/>
      <c r="BF10" s="3521"/>
      <c r="BG10" s="3521"/>
      <c r="BH10" s="3521"/>
      <c r="BI10" s="3521"/>
      <c r="BJ10" s="3521"/>
      <c r="BK10" s="3521"/>
      <c r="BL10" s="3521"/>
      <c r="BM10" s="3521"/>
      <c r="BN10" s="3521"/>
      <c r="BO10" s="3521"/>
      <c r="BP10" s="3521"/>
      <c r="BQ10" s="3521"/>
      <c r="BR10" s="3521"/>
      <c r="BS10" s="3521"/>
      <c r="BT10" s="3521"/>
      <c r="BU10" s="3521"/>
      <c r="BV10" s="3521"/>
      <c r="BW10" s="3521"/>
      <c r="BX10" s="3521"/>
      <c r="BY10" s="3521"/>
      <c r="BZ10" s="3521"/>
      <c r="CA10" s="3521"/>
      <c r="CB10" s="3521"/>
      <c r="CC10" s="3521"/>
      <c r="CD10" s="3521"/>
      <c r="CE10" s="3521"/>
      <c r="CF10" s="3521"/>
      <c r="CG10" s="3521"/>
      <c r="CH10" s="3521"/>
      <c r="CI10" s="3521"/>
      <c r="CJ10" s="3521"/>
      <c r="CK10" s="3521"/>
      <c r="CL10" s="3521"/>
      <c r="CM10" s="3521"/>
      <c r="CN10" s="3521"/>
      <c r="CO10" s="3521"/>
      <c r="CP10" s="3521"/>
      <c r="CQ10" s="3521"/>
      <c r="CR10" s="3521"/>
      <c r="CS10" s="3521"/>
      <c r="CT10" s="3521"/>
      <c r="CU10" s="3521"/>
      <c r="CV10" s="3521"/>
      <c r="CW10" s="3521"/>
      <c r="CX10" s="3521"/>
      <c r="CY10" s="3521"/>
      <c r="CZ10" s="3521"/>
      <c r="DA10" s="3521"/>
      <c r="DB10" s="3521"/>
      <c r="DC10" s="3521"/>
      <c r="DD10" s="3521"/>
      <c r="DE10" s="3521"/>
      <c r="DF10" s="3521"/>
      <c r="DG10" s="3521"/>
      <c r="DH10" s="3521"/>
      <c r="DI10" s="3521"/>
      <c r="DJ10" s="3521"/>
      <c r="DK10" s="3521"/>
      <c r="DL10" s="3521"/>
      <c r="DM10" s="3521"/>
      <c r="DN10" s="3521"/>
      <c r="DO10" s="3521"/>
      <c r="DP10" s="3521"/>
      <c r="DQ10" s="3521"/>
      <c r="DR10" s="3521"/>
      <c r="DS10" s="3521"/>
      <c r="DT10" s="3521"/>
      <c r="DU10" s="3521"/>
      <c r="DV10" s="3521"/>
      <c r="DW10" s="3521"/>
      <c r="DX10" s="3521"/>
      <c r="DY10" s="3521"/>
      <c r="DZ10" s="3521"/>
      <c r="EA10" s="3521"/>
      <c r="EB10" s="3521"/>
      <c r="EC10" s="3521"/>
      <c r="ED10" s="3521"/>
      <c r="EE10" s="3521"/>
      <c r="EF10" s="3521"/>
      <c r="EG10" s="3521"/>
      <c r="EH10" s="3521"/>
      <c r="EI10" s="3521"/>
      <c r="EJ10" s="3521"/>
      <c r="EK10" s="3521"/>
      <c r="EL10" s="3521"/>
      <c r="EM10" s="3521"/>
      <c r="EN10" s="3521"/>
      <c r="EO10" s="3521"/>
      <c r="EP10" s="3521"/>
      <c r="EQ10" s="3521"/>
      <c r="ER10" s="3521"/>
      <c r="ES10" s="3521"/>
      <c r="ET10" s="3521"/>
      <c r="EU10" s="3521"/>
      <c r="EV10" s="3521"/>
      <c r="EW10" s="3521"/>
      <c r="EX10" s="3521"/>
      <c r="EY10" s="3521"/>
      <c r="EZ10" s="3521"/>
      <c r="FA10" s="3521"/>
      <c r="FB10" s="3521"/>
      <c r="FC10" s="3521"/>
      <c r="FD10" s="3521"/>
      <c r="FE10" s="3521"/>
      <c r="FF10" s="3521"/>
      <c r="FG10" s="3521"/>
      <c r="FH10" s="3521"/>
      <c r="FI10" s="3521"/>
      <c r="FJ10" s="3521"/>
      <c r="FK10" s="3521"/>
      <c r="FL10" s="3521"/>
      <c r="FM10" s="3521"/>
      <c r="FN10" s="3521"/>
      <c r="FO10" s="3521"/>
      <c r="FP10" s="3521"/>
      <c r="FQ10" s="3521"/>
      <c r="FR10" s="3521"/>
      <c r="FS10" s="3521"/>
      <c r="FT10" s="3521"/>
      <c r="FU10" s="3521"/>
      <c r="FV10" s="3521"/>
      <c r="FW10" s="3521"/>
      <c r="FX10" s="3521"/>
      <c r="FY10" s="3521"/>
      <c r="FZ10" s="3521"/>
      <c r="GA10" s="3521"/>
      <c r="GB10" s="3521"/>
      <c r="GC10" s="3521"/>
      <c r="GD10" s="3521"/>
      <c r="GE10" s="3521"/>
      <c r="GF10" s="3521"/>
      <c r="GG10" s="3521"/>
      <c r="GH10" s="3521"/>
      <c r="GI10" s="3521"/>
      <c r="GJ10" s="3521"/>
      <c r="GK10" s="3521"/>
      <c r="GL10" s="3521"/>
      <c r="GM10" s="3521"/>
      <c r="GN10" s="3521"/>
      <c r="GO10" s="3521"/>
      <c r="GP10" s="3521"/>
      <c r="GQ10" s="3521"/>
      <c r="GR10" s="3521"/>
      <c r="GS10" s="3521"/>
      <c r="GT10" s="3521"/>
      <c r="GU10" s="3521"/>
      <c r="GV10" s="3521"/>
      <c r="GW10" s="3521"/>
      <c r="GX10" s="3521"/>
      <c r="GY10" s="3521"/>
      <c r="GZ10" s="3521"/>
      <c r="HA10" s="3521"/>
      <c r="HB10" s="3521"/>
      <c r="HC10" s="3521"/>
      <c r="HD10" s="3521"/>
      <c r="HE10" s="3521"/>
      <c r="HF10" s="3521"/>
      <c r="HG10" s="3521"/>
      <c r="HH10" s="3521"/>
      <c r="HI10" s="3521"/>
      <c r="HJ10" s="3521"/>
      <c r="HK10" s="3521"/>
      <c r="HL10" s="3521"/>
      <c r="HM10" s="3521"/>
      <c r="HN10" s="3521"/>
      <c r="HO10" s="3521"/>
      <c r="HP10" s="3521"/>
      <c r="HQ10" s="3521"/>
      <c r="HR10" s="3521"/>
      <c r="HS10" s="3521"/>
      <c r="HT10" s="3521"/>
      <c r="HU10" s="3521"/>
      <c r="HV10" s="3521"/>
      <c r="HW10" s="3521"/>
      <c r="HX10" s="3521"/>
      <c r="HY10" s="3521"/>
      <c r="HZ10" s="3521"/>
      <c r="IA10" s="869" t="s">
        <v>2292</v>
      </c>
      <c r="IB10" s="869" t="s">
        <v>2292</v>
      </c>
      <c r="IC10" s="869" t="s">
        <v>2292</v>
      </c>
      <c r="ID10" s="869" t="s">
        <v>2292</v>
      </c>
      <c r="IE10" s="3521"/>
      <c r="IF10" s="3521"/>
      <c r="IG10" s="3521"/>
      <c r="IH10" s="3521"/>
      <c r="II10" s="3521"/>
      <c r="IJ10" s="3521"/>
      <c r="IK10" s="3521"/>
      <c r="IL10" s="3521"/>
      <c r="IM10" s="3521"/>
      <c r="IN10" s="3521"/>
      <c r="IO10" s="869" t="s">
        <v>2294</v>
      </c>
      <c r="IP10" s="869" t="s">
        <v>2294</v>
      </c>
      <c r="IQ10" s="869" t="s">
        <v>2294</v>
      </c>
      <c r="IR10" s="869" t="s">
        <v>2294</v>
      </c>
      <c r="IS10" s="869" t="s">
        <v>2294</v>
      </c>
      <c r="IT10" s="869" t="s">
        <v>2930</v>
      </c>
      <c r="IU10" s="869" t="s">
        <v>2930</v>
      </c>
      <c r="IV10" s="869" t="s">
        <v>2930</v>
      </c>
      <c r="IW10" s="869" t="s">
        <v>2930</v>
      </c>
      <c r="IX10" s="869" t="s">
        <v>2930</v>
      </c>
      <c r="IY10" s="3521"/>
      <c r="IZ10" s="3521"/>
      <c r="JA10" s="3521"/>
      <c r="JB10" s="3521"/>
      <c r="JC10" s="3521"/>
      <c r="JD10" s="3521"/>
      <c r="JE10" s="3521"/>
      <c r="JF10" s="3521"/>
      <c r="JG10" s="3521"/>
      <c r="JH10" s="3521"/>
      <c r="JI10" s="3521"/>
      <c r="JJ10" s="3521"/>
      <c r="JK10" s="3521"/>
      <c r="JL10" s="3521"/>
      <c r="JM10" s="3521"/>
      <c r="JN10" s="3521"/>
      <c r="JO10" s="3521"/>
      <c r="JP10" s="3521"/>
      <c r="JQ10" s="3521"/>
      <c r="JR10" s="3521"/>
      <c r="JS10" s="3521"/>
      <c r="JT10" s="3521"/>
      <c r="JU10" s="3521"/>
      <c r="JV10" s="3521"/>
      <c r="JW10" s="3521"/>
      <c r="JX10" s="3521"/>
      <c r="JY10" s="3521"/>
      <c r="JZ10" s="3521"/>
      <c r="KA10" s="3521"/>
      <c r="KB10" s="3521"/>
      <c r="KC10" s="3521"/>
      <c r="KD10" s="3521"/>
      <c r="KE10" s="3521"/>
      <c r="KF10" s="3521"/>
      <c r="KG10" s="3521"/>
      <c r="KH10" s="3521"/>
      <c r="KI10" s="3520"/>
      <c r="KJ10" s="3520"/>
      <c r="KK10" s="3520"/>
      <c r="KL10" s="3520"/>
      <c r="KM10" s="3520"/>
      <c r="KN10" s="3520"/>
      <c r="KO10" s="3520"/>
      <c r="KP10" s="3520"/>
      <c r="KQ10" s="3520"/>
      <c r="KR10" s="3520"/>
      <c r="KS10" s="3520"/>
      <c r="KT10" s="3520"/>
      <c r="KU10" s="3520"/>
      <c r="KV10" s="3520"/>
      <c r="KW10" s="3520"/>
      <c r="KX10" s="3520"/>
      <c r="KY10" s="3520"/>
      <c r="KZ10" s="3520"/>
      <c r="LA10" s="3520"/>
      <c r="LB10" s="3520"/>
      <c r="LC10" s="3520"/>
      <c r="LD10" s="3520"/>
      <c r="LE10" s="3520"/>
      <c r="LF10" s="3520"/>
      <c r="LG10" s="3520"/>
      <c r="LH10" s="3520"/>
      <c r="LI10" s="3520"/>
      <c r="LJ10" s="3520"/>
      <c r="LK10" s="3520"/>
      <c r="LL10" s="3520"/>
      <c r="LM10" s="3520"/>
      <c r="LN10" s="3520"/>
      <c r="LO10" s="3520"/>
      <c r="LP10" s="3520"/>
      <c r="LQ10" s="3520"/>
      <c r="LR10" s="3520"/>
      <c r="LS10" s="3520"/>
      <c r="LT10" s="3520"/>
      <c r="LU10" s="3520"/>
      <c r="LV10" s="3520"/>
      <c r="LW10" s="3520"/>
      <c r="LX10" s="3520"/>
      <c r="LY10" s="3520"/>
      <c r="LZ10" s="3520"/>
      <c r="MA10" s="3520"/>
      <c r="MB10" s="3520"/>
      <c r="MC10" s="3520"/>
      <c r="MD10" s="3520"/>
      <c r="ME10" s="3520"/>
      <c r="MF10" s="3520"/>
      <c r="MG10" s="3520"/>
      <c r="MH10" s="3520"/>
      <c r="MI10" s="3520"/>
      <c r="MJ10" s="3520"/>
      <c r="MK10" s="3564"/>
      <c r="ML10" s="3564"/>
      <c r="MM10" s="3564"/>
      <c r="MN10" s="3564"/>
      <c r="MO10" s="3564"/>
      <c r="MP10" s="3520"/>
      <c r="MQ10" s="3520"/>
      <c r="MR10" s="3520"/>
      <c r="MS10" s="3520"/>
      <c r="MT10" s="3520"/>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3555</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5"/>
      <c r="U11" s="3566"/>
      <c r="V11" s="3566"/>
      <c r="W11" s="3567"/>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4302</v>
      </c>
      <c r="NQ11" s="2480">
        <v>11</v>
      </c>
    </row>
    <row r="12" spans="1:493" ht="13.9" customHeight="1">
      <c r="A12" s="86" t="str">
        <f t="shared" si="0"/>
        <v/>
      </c>
      <c r="B12" s="1022" t="s">
        <v>3555</v>
      </c>
      <c r="C12" s="132"/>
      <c r="D12" s="1661"/>
      <c r="E12" s="133"/>
      <c r="F12" s="133"/>
      <c r="G12" s="133"/>
      <c r="H12" s="133"/>
      <c r="I12" s="133"/>
      <c r="J12" s="1366"/>
      <c r="K12" s="632"/>
      <c r="L12" s="460">
        <f t="shared" si="1"/>
        <v>0</v>
      </c>
      <c r="M12" s="460">
        <f t="shared" si="2"/>
        <v>0</v>
      </c>
      <c r="N12" s="683"/>
      <c r="O12" s="1595"/>
      <c r="P12" s="683"/>
      <c r="Q12" s="134"/>
      <c r="R12" s="726"/>
      <c r="S12" s="727"/>
      <c r="T12" s="3488"/>
      <c r="U12" s="3489"/>
      <c r="V12" s="3489"/>
      <c r="W12" s="3490"/>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4303</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8"/>
      <c r="U13" s="3489"/>
      <c r="V13" s="3489"/>
      <c r="W13" s="3490"/>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4304</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8"/>
      <c r="U14" s="3489"/>
      <c r="V14" s="3489"/>
      <c r="W14" s="3490"/>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4305</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88"/>
      <c r="U15" s="3489"/>
      <c r="V15" s="3489"/>
      <c r="W15" s="3490"/>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4306</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8"/>
      <c r="U16" s="3489"/>
      <c r="V16" s="3489"/>
      <c r="W16" s="3490"/>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4307</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8"/>
      <c r="U17" s="3489"/>
      <c r="V17" s="3489"/>
      <c r="W17" s="3490"/>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4308</v>
      </c>
      <c r="NQ17" s="2482">
        <v>17</v>
      </c>
    </row>
    <row r="18" spans="1:381" ht="13.9" customHeight="1">
      <c r="A18" s="86" t="str">
        <f t="shared" si="0"/>
        <v/>
      </c>
      <c r="B18" s="1059">
        <v>50</v>
      </c>
      <c r="C18" s="1024">
        <v>1</v>
      </c>
      <c r="D18" s="1663">
        <v>1</v>
      </c>
      <c r="E18" s="1025">
        <v>18</v>
      </c>
      <c r="F18" s="1025">
        <v>811</v>
      </c>
      <c r="G18" s="1025">
        <v>1008</v>
      </c>
      <c r="H18" s="1025">
        <v>1003</v>
      </c>
      <c r="I18" s="1025">
        <v>0</v>
      </c>
      <c r="J18" s="1041">
        <f>IF(C18="",0,HLOOKUP(C18,'Part IV-Utility Allowances'!$I$11:$M$22,12))</f>
        <v>168</v>
      </c>
      <c r="K18" s="1042"/>
      <c r="L18" s="1043">
        <f t="shared" si="1"/>
        <v>835</v>
      </c>
      <c r="M18" s="1043">
        <f t="shared" si="2"/>
        <v>15030</v>
      </c>
      <c r="N18" s="1044" t="s">
        <v>2645</v>
      </c>
      <c r="O18" s="1597" t="s">
        <v>5191</v>
      </c>
      <c r="P18" s="1044" t="s">
        <v>2114</v>
      </c>
      <c r="Q18" s="1045" t="s">
        <v>2645</v>
      </c>
      <c r="R18" s="726"/>
      <c r="S18" s="727"/>
      <c r="T18" s="3488"/>
      <c r="U18" s="3489"/>
      <c r="V18" s="3489"/>
      <c r="W18" s="3490"/>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18</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14598</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18</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18</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f t="shared" si="264"/>
        <v>18</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18</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4309</v>
      </c>
      <c r="NQ18" s="2482">
        <v>18</v>
      </c>
    </row>
    <row r="19" spans="1:381" ht="13.9" customHeight="1">
      <c r="A19" s="86" t="str">
        <f t="shared" si="0"/>
        <v/>
      </c>
      <c r="B19" s="1060">
        <v>60</v>
      </c>
      <c r="C19" s="132">
        <v>1</v>
      </c>
      <c r="D19" s="1661">
        <v>1</v>
      </c>
      <c r="E19" s="133">
        <v>14</v>
      </c>
      <c r="F19" s="133">
        <v>811</v>
      </c>
      <c r="G19" s="133">
        <v>1209</v>
      </c>
      <c r="H19" s="133">
        <v>1168</v>
      </c>
      <c r="I19" s="133">
        <v>0</v>
      </c>
      <c r="J19" s="743">
        <f>IF(C19="",0,HLOOKUP(C19,'Part IV-Utility Allowances'!$I$11:$M$22,12))</f>
        <v>168</v>
      </c>
      <c r="K19" s="632"/>
      <c r="L19" s="460">
        <f t="shared" si="1"/>
        <v>1000</v>
      </c>
      <c r="M19" s="460">
        <f t="shared" si="2"/>
        <v>14000</v>
      </c>
      <c r="N19" s="683" t="s">
        <v>2645</v>
      </c>
      <c r="O19" s="1595" t="s">
        <v>5191</v>
      </c>
      <c r="P19" s="683" t="s">
        <v>2114</v>
      </c>
      <c r="Q19" s="134" t="s">
        <v>2645</v>
      </c>
      <c r="R19" s="726"/>
      <c r="S19" s="727"/>
      <c r="T19" s="3488"/>
      <c r="U19" s="3489"/>
      <c r="V19" s="3489"/>
      <c r="W19" s="3490"/>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14</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11354</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14</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14</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f t="shared" si="264"/>
        <v>14</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14</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4310</v>
      </c>
      <c r="NQ19" s="2482">
        <v>19</v>
      </c>
    </row>
    <row r="20" spans="1:381" ht="13.9" customHeight="1">
      <c r="A20" s="86" t="str">
        <f t="shared" si="0"/>
        <v/>
      </c>
      <c r="B20" s="1060">
        <v>80</v>
      </c>
      <c r="C20" s="132">
        <v>1</v>
      </c>
      <c r="D20" s="1661">
        <v>1</v>
      </c>
      <c r="E20" s="133">
        <v>5</v>
      </c>
      <c r="F20" s="133">
        <v>811</v>
      </c>
      <c r="G20" s="133">
        <v>1613</v>
      </c>
      <c r="H20" s="133">
        <v>1298</v>
      </c>
      <c r="I20" s="133">
        <v>0</v>
      </c>
      <c r="J20" s="743">
        <f>IF(C20="",0,HLOOKUP(C20,'Part IV-Utility Allowances'!$I$11:$M$22,12))</f>
        <v>168</v>
      </c>
      <c r="K20" s="632"/>
      <c r="L20" s="460">
        <f t="shared" si="1"/>
        <v>1130</v>
      </c>
      <c r="M20" s="460">
        <f t="shared" si="2"/>
        <v>5650</v>
      </c>
      <c r="N20" s="683" t="s">
        <v>2645</v>
      </c>
      <c r="O20" s="1595" t="s">
        <v>5191</v>
      </c>
      <c r="P20" s="683" t="s">
        <v>2114</v>
      </c>
      <c r="Q20" s="134" t="s">
        <v>2645</v>
      </c>
      <c r="R20" s="726"/>
      <c r="S20" s="727"/>
      <c r="T20" s="3488"/>
      <c r="U20" s="3489"/>
      <c r="V20" s="3489"/>
      <c r="W20" s="3490"/>
      <c r="X20" s="356" t="str">
        <f t="shared" si="3"/>
        <v/>
      </c>
      <c r="Y20" s="356">
        <f t="shared" si="4"/>
        <v>5</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f t="shared" si="119"/>
        <v>4055</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5</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5</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f t="shared" si="264"/>
        <v>5</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5</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4311</v>
      </c>
      <c r="NQ20" s="2483">
        <v>20</v>
      </c>
    </row>
    <row r="21" spans="1:381" ht="13.9" customHeight="1">
      <c r="A21" s="86" t="str">
        <f t="shared" si="0"/>
        <v/>
      </c>
      <c r="B21" s="1060"/>
      <c r="C21" s="132"/>
      <c r="D21" s="1661"/>
      <c r="E21" s="133"/>
      <c r="F21" s="133"/>
      <c r="G21" s="133"/>
      <c r="H21" s="133"/>
      <c r="I21" s="133"/>
      <c r="J21" s="743">
        <f>IF(C21="",0,HLOOKUP(C21,'Part IV-Utility Allowances'!$I$11:$M$22,12))</f>
        <v>0</v>
      </c>
      <c r="K21" s="632"/>
      <c r="L21" s="460">
        <f t="shared" si="1"/>
        <v>0</v>
      </c>
      <c r="M21" s="460">
        <f t="shared" si="2"/>
        <v>0</v>
      </c>
      <c r="N21" s="683"/>
      <c r="O21" s="1595"/>
      <c r="P21" s="683"/>
      <c r="Q21" s="134"/>
      <c r="R21" s="726"/>
      <c r="S21" s="727"/>
      <c r="T21" s="3488"/>
      <c r="U21" s="3489"/>
      <c r="V21" s="3489"/>
      <c r="W21" s="3490"/>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4312</v>
      </c>
      <c r="NQ21" s="2482">
        <v>21</v>
      </c>
    </row>
    <row r="22" spans="1:381" ht="13.9" customHeight="1">
      <c r="A22" s="86" t="str">
        <f t="shared" si="0"/>
        <v/>
      </c>
      <c r="B22" s="1060">
        <v>50</v>
      </c>
      <c r="C22" s="132">
        <v>2</v>
      </c>
      <c r="D22" s="1661">
        <v>1</v>
      </c>
      <c r="E22" s="133">
        <v>4</v>
      </c>
      <c r="F22" s="133">
        <v>915</v>
      </c>
      <c r="G22" s="133">
        <v>1210</v>
      </c>
      <c r="H22" s="133">
        <v>1203</v>
      </c>
      <c r="I22" s="133">
        <v>0</v>
      </c>
      <c r="J22" s="743">
        <f>IF(C22="",0,HLOOKUP(C22,'Part IV-Utility Allowances'!$I$11:$M$22,12))</f>
        <v>238</v>
      </c>
      <c r="K22" s="632"/>
      <c r="L22" s="460">
        <f t="shared" si="1"/>
        <v>965</v>
      </c>
      <c r="M22" s="460">
        <f t="shared" si="2"/>
        <v>3860</v>
      </c>
      <c r="N22" s="683" t="s">
        <v>2645</v>
      </c>
      <c r="O22" s="1595" t="s">
        <v>5191</v>
      </c>
      <c r="P22" s="683" t="s">
        <v>2114</v>
      </c>
      <c r="Q22" s="134" t="s">
        <v>2645</v>
      </c>
      <c r="R22" s="726"/>
      <c r="S22" s="727"/>
      <c r="T22" s="3488"/>
      <c r="U22" s="3489"/>
      <c r="V22" s="3489"/>
      <c r="W22" s="3490"/>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f t="shared" si="20"/>
        <v>4</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f t="shared" si="135"/>
        <v>3660</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4</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4</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f t="shared" si="265"/>
        <v>4</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4</v>
      </c>
      <c r="MN22" s="1658">
        <f t="shared" si="336"/>
        <v>0</v>
      </c>
      <c r="MO22" s="1658">
        <f t="shared" si="337"/>
        <v>0</v>
      </c>
      <c r="MP22" s="1658">
        <f t="shared" si="328"/>
        <v>0</v>
      </c>
      <c r="MQ22" s="1658">
        <f t="shared" si="329"/>
        <v>0</v>
      </c>
      <c r="MR22" s="1658">
        <f t="shared" si="330"/>
        <v>0</v>
      </c>
      <c r="MS22" s="1658">
        <f t="shared" si="331"/>
        <v>0</v>
      </c>
      <c r="MT22" s="1658">
        <f t="shared" si="332"/>
        <v>0</v>
      </c>
      <c r="NP22" s="1631" t="s">
        <v>4313</v>
      </c>
      <c r="NQ22" s="2480">
        <v>22</v>
      </c>
    </row>
    <row r="23" spans="1:381" ht="13.9" customHeight="1">
      <c r="A23" s="86" t="str">
        <f t="shared" si="0"/>
        <v/>
      </c>
      <c r="B23" s="1060">
        <v>60</v>
      </c>
      <c r="C23" s="132">
        <v>2</v>
      </c>
      <c r="D23" s="1661">
        <v>1</v>
      </c>
      <c r="E23" s="133">
        <v>3</v>
      </c>
      <c r="F23" s="133">
        <v>915</v>
      </c>
      <c r="G23" s="133">
        <v>1452</v>
      </c>
      <c r="H23" s="133">
        <v>1403</v>
      </c>
      <c r="I23" s="133">
        <v>0</v>
      </c>
      <c r="J23" s="743">
        <f>IF(C23="",0,HLOOKUP(C23,'Part IV-Utility Allowances'!$I$11:$M$22,12))</f>
        <v>238</v>
      </c>
      <c r="K23" s="632"/>
      <c r="L23" s="460">
        <f t="shared" si="1"/>
        <v>1165</v>
      </c>
      <c r="M23" s="460">
        <f t="shared" si="2"/>
        <v>3495</v>
      </c>
      <c r="N23" s="683" t="s">
        <v>2645</v>
      </c>
      <c r="O23" s="1595" t="s">
        <v>5191</v>
      </c>
      <c r="P23" s="683" t="s">
        <v>2114</v>
      </c>
      <c r="Q23" s="134" t="s">
        <v>2645</v>
      </c>
      <c r="R23" s="726"/>
      <c r="S23" s="727"/>
      <c r="T23" s="3488"/>
      <c r="U23" s="3489"/>
      <c r="V23" s="3489"/>
      <c r="W23" s="3490"/>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f t="shared" si="15"/>
        <v>3</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f t="shared" si="130"/>
        <v>2745</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3</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3</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f t="shared" si="265"/>
        <v>3</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3</v>
      </c>
      <c r="MN23" s="1658">
        <f t="shared" si="336"/>
        <v>0</v>
      </c>
      <c r="MO23" s="1658">
        <f t="shared" si="337"/>
        <v>0</v>
      </c>
      <c r="MP23" s="1658">
        <f t="shared" si="328"/>
        <v>0</v>
      </c>
      <c r="MQ23" s="1658">
        <f t="shared" si="329"/>
        <v>0</v>
      </c>
      <c r="MR23" s="1658">
        <f t="shared" si="330"/>
        <v>0</v>
      </c>
      <c r="MS23" s="1658">
        <f t="shared" si="331"/>
        <v>0</v>
      </c>
      <c r="MT23" s="1658">
        <f t="shared" si="332"/>
        <v>0</v>
      </c>
      <c r="NP23" s="1631" t="s">
        <v>4314</v>
      </c>
      <c r="NQ23" s="2482">
        <v>23</v>
      </c>
    </row>
    <row r="24" spans="1:381" ht="13.9" customHeight="1">
      <c r="A24" s="86" t="str">
        <f t="shared" si="0"/>
        <v/>
      </c>
      <c r="B24" s="1060">
        <v>80</v>
      </c>
      <c r="C24" s="132">
        <v>2</v>
      </c>
      <c r="D24" s="1661">
        <v>1</v>
      </c>
      <c r="E24" s="133">
        <v>1</v>
      </c>
      <c r="F24" s="133">
        <v>915</v>
      </c>
      <c r="G24" s="133">
        <v>1936</v>
      </c>
      <c r="H24" s="133">
        <v>1538</v>
      </c>
      <c r="I24" s="133">
        <v>0</v>
      </c>
      <c r="J24" s="743">
        <f>IF(C24="",0,HLOOKUP(C24,'Part IV-Utility Allowances'!$I$11:$M$22,12))</f>
        <v>238</v>
      </c>
      <c r="K24" s="632"/>
      <c r="L24" s="460">
        <f t="shared" si="1"/>
        <v>1300</v>
      </c>
      <c r="M24" s="460">
        <f t="shared" si="2"/>
        <v>1300</v>
      </c>
      <c r="N24" s="683" t="s">
        <v>2645</v>
      </c>
      <c r="O24" s="1595" t="s">
        <v>5191</v>
      </c>
      <c r="P24" s="683" t="s">
        <v>2114</v>
      </c>
      <c r="Q24" s="134" t="s">
        <v>2645</v>
      </c>
      <c r="R24" s="726"/>
      <c r="S24" s="727"/>
      <c r="T24" s="3488"/>
      <c r="U24" s="3489"/>
      <c r="V24" s="3489"/>
      <c r="W24" s="3490"/>
      <c r="X24" s="356" t="str">
        <f t="shared" si="3"/>
        <v/>
      </c>
      <c r="Y24" s="356" t="str">
        <f t="shared" si="4"/>
        <v/>
      </c>
      <c r="Z24" s="356">
        <f t="shared" si="5"/>
        <v>1</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f t="shared" si="120"/>
        <v>915</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f t="shared" si="170"/>
        <v>1</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f t="shared" si="215"/>
        <v>1</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f t="shared" si="265"/>
        <v>1</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1</v>
      </c>
      <c r="MN24" s="1658">
        <f t="shared" si="336"/>
        <v>0</v>
      </c>
      <c r="MO24" s="1658">
        <f t="shared" si="337"/>
        <v>0</v>
      </c>
      <c r="MP24" s="1658">
        <f t="shared" si="328"/>
        <v>0</v>
      </c>
      <c r="MQ24" s="1658">
        <f t="shared" si="329"/>
        <v>0</v>
      </c>
      <c r="MR24" s="1658">
        <f t="shared" si="330"/>
        <v>0</v>
      </c>
      <c r="MS24" s="1658">
        <f t="shared" si="331"/>
        <v>0</v>
      </c>
      <c r="MT24" s="1658">
        <f t="shared" si="332"/>
        <v>0</v>
      </c>
      <c r="NP24" s="1631" t="s">
        <v>4315</v>
      </c>
      <c r="NQ24" s="2482">
        <v>24</v>
      </c>
    </row>
    <row r="25" spans="1:381" ht="13.9"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88"/>
      <c r="U25" s="3489"/>
      <c r="V25" s="3489"/>
      <c r="W25" s="3490"/>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4316</v>
      </c>
      <c r="NQ25" s="2480">
        <v>25</v>
      </c>
    </row>
    <row r="26" spans="1:381" ht="13.9" customHeight="1">
      <c r="A26" s="86" t="str">
        <f t="shared" si="0"/>
        <v/>
      </c>
      <c r="B26" s="1060">
        <v>50</v>
      </c>
      <c r="C26" s="132">
        <v>3</v>
      </c>
      <c r="D26" s="1661">
        <v>2</v>
      </c>
      <c r="E26" s="133">
        <v>3</v>
      </c>
      <c r="F26" s="133">
        <v>1179</v>
      </c>
      <c r="G26" s="133">
        <v>1397</v>
      </c>
      <c r="H26" s="133">
        <v>1389</v>
      </c>
      <c r="I26" s="133">
        <v>0</v>
      </c>
      <c r="J26" s="743">
        <f>IF(C26="",0,HLOOKUP(C26,'Part IV-Utility Allowances'!$I$11:$M$22,12))</f>
        <v>314</v>
      </c>
      <c r="K26" s="632"/>
      <c r="L26" s="460">
        <f t="shared" si="1"/>
        <v>1075</v>
      </c>
      <c r="M26" s="460">
        <f t="shared" si="2"/>
        <v>3225</v>
      </c>
      <c r="N26" s="683" t="s">
        <v>2645</v>
      </c>
      <c r="O26" s="1595" t="s">
        <v>5191</v>
      </c>
      <c r="P26" s="683" t="s">
        <v>2114</v>
      </c>
      <c r="Q26" s="134" t="s">
        <v>2645</v>
      </c>
      <c r="R26" s="726"/>
      <c r="S26" s="727"/>
      <c r="T26" s="3488"/>
      <c r="U26" s="3489"/>
      <c r="V26" s="3489"/>
      <c r="W26" s="3490"/>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f t="shared" si="21"/>
        <v>3</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f t="shared" si="136"/>
        <v>3537</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f t="shared" si="171"/>
        <v>3</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f t="shared" si="216"/>
        <v>3</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f t="shared" si="266"/>
        <v>3</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3</v>
      </c>
      <c r="MO26" s="1658">
        <f t="shared" si="337"/>
        <v>0</v>
      </c>
      <c r="MP26" s="1658">
        <f t="shared" si="328"/>
        <v>0</v>
      </c>
      <c r="MQ26" s="1658">
        <f t="shared" si="329"/>
        <v>0</v>
      </c>
      <c r="MR26" s="1658">
        <f t="shared" si="330"/>
        <v>0</v>
      </c>
      <c r="MS26" s="1658">
        <f t="shared" si="331"/>
        <v>0</v>
      </c>
      <c r="MT26" s="1658">
        <f t="shared" si="332"/>
        <v>0</v>
      </c>
      <c r="NP26" s="1631" t="s">
        <v>4317</v>
      </c>
      <c r="NQ26" s="2482">
        <v>26</v>
      </c>
    </row>
    <row r="27" spans="1:381" ht="13.9" customHeight="1">
      <c r="A27" s="86" t="str">
        <f t="shared" si="0"/>
        <v/>
      </c>
      <c r="B27" s="1060">
        <v>60</v>
      </c>
      <c r="C27" s="132">
        <v>3</v>
      </c>
      <c r="D27" s="1661">
        <v>2</v>
      </c>
      <c r="E27" s="133">
        <v>1</v>
      </c>
      <c r="F27" s="133">
        <v>1179</v>
      </c>
      <c r="G27" s="133">
        <v>1677</v>
      </c>
      <c r="H27" s="133">
        <v>1619</v>
      </c>
      <c r="I27" s="133">
        <v>0</v>
      </c>
      <c r="J27" s="743">
        <f>IF(C27="",0,HLOOKUP(C27,'Part IV-Utility Allowances'!$I$11:$M$22,12))</f>
        <v>314</v>
      </c>
      <c r="K27" s="632"/>
      <c r="L27" s="460">
        <f t="shared" si="1"/>
        <v>1305</v>
      </c>
      <c r="M27" s="460">
        <f t="shared" si="2"/>
        <v>1305</v>
      </c>
      <c r="N27" s="683" t="s">
        <v>2645</v>
      </c>
      <c r="O27" s="1595" t="s">
        <v>5191</v>
      </c>
      <c r="P27" s="683" t="s">
        <v>2114</v>
      </c>
      <c r="Q27" s="134" t="s">
        <v>2645</v>
      </c>
      <c r="R27" s="726"/>
      <c r="S27" s="727"/>
      <c r="T27" s="3488"/>
      <c r="U27" s="3489"/>
      <c r="V27" s="3489"/>
      <c r="W27" s="3490"/>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f t="shared" si="16"/>
        <v>1</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f t="shared" si="131"/>
        <v>1179</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f t="shared" si="171"/>
        <v>1</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f t="shared" si="216"/>
        <v>1</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f t="shared" si="266"/>
        <v>1</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1</v>
      </c>
      <c r="MO27" s="1658">
        <f t="shared" si="337"/>
        <v>0</v>
      </c>
      <c r="MP27" s="1658">
        <f t="shared" si="328"/>
        <v>0</v>
      </c>
      <c r="MQ27" s="1658">
        <f t="shared" si="329"/>
        <v>0</v>
      </c>
      <c r="MR27" s="1658">
        <f t="shared" si="330"/>
        <v>0</v>
      </c>
      <c r="MS27" s="1658">
        <f t="shared" si="331"/>
        <v>0</v>
      </c>
      <c r="MT27" s="1658">
        <f t="shared" si="332"/>
        <v>0</v>
      </c>
      <c r="NP27" s="1631" t="s">
        <v>4318</v>
      </c>
      <c r="NQ27" s="2482">
        <v>27</v>
      </c>
    </row>
    <row r="28" spans="1:381" ht="13.9" customHeight="1">
      <c r="A28" s="86" t="str">
        <f t="shared" si="0"/>
        <v/>
      </c>
      <c r="B28" s="1060">
        <v>80</v>
      </c>
      <c r="C28" s="132">
        <v>3</v>
      </c>
      <c r="D28" s="1661">
        <v>2</v>
      </c>
      <c r="E28" s="133">
        <v>1</v>
      </c>
      <c r="F28" s="133">
        <v>1179</v>
      </c>
      <c r="G28" s="133">
        <v>2236</v>
      </c>
      <c r="H28" s="133">
        <v>1744</v>
      </c>
      <c r="I28" s="133">
        <v>0</v>
      </c>
      <c r="J28" s="743">
        <f>IF(C28="",0,HLOOKUP(C28,'Part IV-Utility Allowances'!$I$11:$M$22,12))</f>
        <v>314</v>
      </c>
      <c r="K28" s="632"/>
      <c r="L28" s="460">
        <f t="shared" si="1"/>
        <v>1430</v>
      </c>
      <c r="M28" s="460">
        <f t="shared" si="2"/>
        <v>1430</v>
      </c>
      <c r="N28" s="683" t="s">
        <v>2645</v>
      </c>
      <c r="O28" s="1595" t="s">
        <v>5191</v>
      </c>
      <c r="P28" s="683" t="s">
        <v>2114</v>
      </c>
      <c r="Q28" s="134" t="s">
        <v>2645</v>
      </c>
      <c r="R28" s="726"/>
      <c r="S28" s="727"/>
      <c r="T28" s="3488"/>
      <c r="U28" s="3489"/>
      <c r="V28" s="3489"/>
      <c r="W28" s="3490"/>
      <c r="X28" s="356" t="str">
        <f t="shared" si="3"/>
        <v/>
      </c>
      <c r="Y28" s="356" t="str">
        <f t="shared" si="4"/>
        <v/>
      </c>
      <c r="Z28" s="356" t="str">
        <f t="shared" si="5"/>
        <v/>
      </c>
      <c r="AA28" s="356">
        <f t="shared" si="6"/>
        <v>1</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f t="shared" si="121"/>
        <v>1179</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f t="shared" si="171"/>
        <v>1</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f t="shared" si="216"/>
        <v>1</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f t="shared" si="266"/>
        <v>1</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1</v>
      </c>
      <c r="MO28" s="1658">
        <f t="shared" si="337"/>
        <v>0</v>
      </c>
      <c r="MP28" s="1658">
        <f t="shared" si="328"/>
        <v>0</v>
      </c>
      <c r="MQ28" s="1658">
        <f t="shared" si="329"/>
        <v>0</v>
      </c>
      <c r="MR28" s="1658">
        <f t="shared" si="330"/>
        <v>0</v>
      </c>
      <c r="MS28" s="1658">
        <f t="shared" si="331"/>
        <v>0</v>
      </c>
      <c r="MT28" s="1658">
        <f t="shared" si="332"/>
        <v>0</v>
      </c>
      <c r="NP28" s="1631" t="s">
        <v>4319</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8"/>
      <c r="U29" s="3489"/>
      <c r="V29" s="3489"/>
      <c r="W29" s="3490"/>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4320</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8"/>
      <c r="U30" s="3489"/>
      <c r="V30" s="3489"/>
      <c r="W30" s="3490"/>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4321</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8"/>
      <c r="U31" s="3489"/>
      <c r="V31" s="3489"/>
      <c r="W31" s="3490"/>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4322</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8"/>
      <c r="U32" s="3489"/>
      <c r="V32" s="3489"/>
      <c r="W32" s="3490"/>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4323</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8"/>
      <c r="U33" s="3489"/>
      <c r="V33" s="3489"/>
      <c r="W33" s="3490"/>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4324</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8"/>
      <c r="U34" s="3489"/>
      <c r="V34" s="3489"/>
      <c r="W34" s="3490"/>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4325</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8"/>
      <c r="U35" s="3489"/>
      <c r="V35" s="3489"/>
      <c r="W35" s="3490"/>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4326</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8"/>
      <c r="U36" s="3489"/>
      <c r="V36" s="3489"/>
      <c r="W36" s="3490"/>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4327</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8"/>
      <c r="U37" s="3489"/>
      <c r="V37" s="3489"/>
      <c r="W37" s="3490"/>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4328</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8"/>
      <c r="U38" s="3489"/>
      <c r="V38" s="3489"/>
      <c r="W38" s="3490"/>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4329</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8"/>
      <c r="U39" s="3489"/>
      <c r="V39" s="3489"/>
      <c r="W39" s="3490"/>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4330</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8"/>
      <c r="U40" s="3489"/>
      <c r="V40" s="3489"/>
      <c r="W40" s="3490"/>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4331</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8"/>
      <c r="U41" s="3489"/>
      <c r="V41" s="3489"/>
      <c r="W41" s="3490"/>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4332</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8"/>
      <c r="U42" s="3489"/>
      <c r="V42" s="3489"/>
      <c r="W42" s="3490"/>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4333</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8"/>
      <c r="U43" s="3489"/>
      <c r="V43" s="3489"/>
      <c r="W43" s="3490"/>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4334</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8"/>
      <c r="U44" s="3489"/>
      <c r="V44" s="3489"/>
      <c r="W44" s="3490"/>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4335</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8"/>
      <c r="U45" s="3489"/>
      <c r="V45" s="3489"/>
      <c r="W45" s="3490"/>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4336</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8"/>
      <c r="U46" s="3489"/>
      <c r="V46" s="3489"/>
      <c r="W46" s="3490"/>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4337</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8"/>
      <c r="U47" s="3489"/>
      <c r="V47" s="3489"/>
      <c r="W47" s="3490"/>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4338</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4339</v>
      </c>
      <c r="NQ48" s="2482">
        <v>48</v>
      </c>
    </row>
    <row r="49" spans="1:381" s="115" customFormat="1" ht="13.9" customHeight="1">
      <c r="A49" s="1368">
        <f>COUNT(A11,A12,A13,A14,A15,A16,A17,A18,A19,A20,A21,A22,A23,A24,A25,A26,A27,A28,A29,A30,A31,A32,A33,A34,A35,A36,A37,A38,A39,A40)</f>
        <v>0</v>
      </c>
      <c r="B49" s="3557" t="s">
        <v>3649</v>
      </c>
      <c r="C49" s="3558"/>
      <c r="D49" s="107" t="s">
        <v>953</v>
      </c>
      <c r="E49" s="1054">
        <f>SUM(E11:E48)</f>
        <v>50</v>
      </c>
      <c r="F49" s="1052">
        <f>(E11*F11+E12*F12+E13*F13+E14*F14+E15*F15+E16*F16+E17*F17+E18*F18+E19*F19+E20*F20+E21*F21+E22*F22+E23*F23+E24*F24+E25*F25+E26*F26+E27*F27+E28*F28+E29*F29+E30*F30+E31*F31+E32*F32+E33*F33+E34*F34+E35*F35+E36*F36+E37*F37+E38*F38+E39*F39+E40*F40+E41*F41+E42*F42+E43*F43+E44*F44+E45*F45+E46*F46+E47*F47+E48*F48)</f>
        <v>43222</v>
      </c>
      <c r="H49" s="3559" t="s">
        <v>3646</v>
      </c>
      <c r="I49" s="1055" t="s">
        <v>3647</v>
      </c>
      <c r="J49" s="1056" t="str">
        <f>IF(P67=0,"",IF(SUM(P58:P62)/P67&gt;=0.4,"Pass","Fail"))</f>
        <v>Pass</v>
      </c>
      <c r="K49" s="447"/>
      <c r="L49" s="687" t="s">
        <v>1223</v>
      </c>
      <c r="M49" s="94">
        <f>SUM(M11:M48)</f>
        <v>49295</v>
      </c>
      <c r="N49" s="72"/>
      <c r="O49" s="72"/>
      <c r="P49" s="72"/>
      <c r="Q49" s="72"/>
      <c r="R49" s="72"/>
      <c r="S49" s="72"/>
      <c r="T49" s="72"/>
      <c r="U49" s="72"/>
      <c r="V49" s="674"/>
      <c r="W49" s="448"/>
      <c r="X49" s="1659">
        <f t="shared" ref="X49:FA49" si="338">SUM(X11:X48)</f>
        <v>0</v>
      </c>
      <c r="Y49" s="1659">
        <f t="shared" si="338"/>
        <v>5</v>
      </c>
      <c r="Z49" s="1659">
        <f t="shared" si="338"/>
        <v>1</v>
      </c>
      <c r="AA49" s="1659">
        <f t="shared" si="338"/>
        <v>1</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14</v>
      </c>
      <c r="AJ49" s="1659">
        <f t="shared" si="338"/>
        <v>3</v>
      </c>
      <c r="AK49" s="1659">
        <f t="shared" si="338"/>
        <v>1</v>
      </c>
      <c r="AL49" s="1659">
        <f t="shared" si="338"/>
        <v>0</v>
      </c>
      <c r="AM49" s="1659">
        <f>SUM(AM11:AM48)</f>
        <v>0</v>
      </c>
      <c r="AN49" s="1659">
        <f>SUM(AN11:AN48)</f>
        <v>18</v>
      </c>
      <c r="AO49" s="1659">
        <f>SUM(AO11:AO48)</f>
        <v>4</v>
      </c>
      <c r="AP49" s="1659">
        <f>SUM(AP11:AP48)</f>
        <v>3</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4055</v>
      </c>
      <c r="EK49" s="1659">
        <f t="shared" si="338"/>
        <v>915</v>
      </c>
      <c r="EL49" s="1659">
        <f t="shared" si="338"/>
        <v>1179</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11354</v>
      </c>
      <c r="EU49" s="1659">
        <f t="shared" si="338"/>
        <v>2745</v>
      </c>
      <c r="EV49" s="1659">
        <f t="shared" si="338"/>
        <v>1179</v>
      </c>
      <c r="EW49" s="1659">
        <f t="shared" si="338"/>
        <v>0</v>
      </c>
      <c r="EX49" s="1659">
        <f t="shared" si="338"/>
        <v>0</v>
      </c>
      <c r="EY49" s="1659">
        <f t="shared" si="338"/>
        <v>14598</v>
      </c>
      <c r="EZ49" s="1659">
        <f t="shared" si="338"/>
        <v>3660</v>
      </c>
      <c r="FA49" s="1659">
        <f t="shared" si="338"/>
        <v>3537</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37</v>
      </c>
      <c r="GI49" s="1659">
        <f t="shared" si="340"/>
        <v>8</v>
      </c>
      <c r="GJ49" s="1659">
        <f t="shared" si="340"/>
        <v>5</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37</v>
      </c>
      <c r="IB49" s="1659">
        <f t="shared" si="341"/>
        <v>8</v>
      </c>
      <c r="IC49" s="1659">
        <f t="shared" si="341"/>
        <v>5</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37</v>
      </c>
      <c r="JZ49" s="1659">
        <f>SUM(JZ11:JZ48)</f>
        <v>8</v>
      </c>
      <c r="KA49" s="1659">
        <f>SUM(KA11:KA48)</f>
        <v>5</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37</v>
      </c>
      <c r="MM49" s="1659">
        <f t="shared" si="343"/>
        <v>8</v>
      </c>
      <c r="MN49" s="1659">
        <f t="shared" si="343"/>
        <v>5</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4340</v>
      </c>
      <c r="NQ49" s="2482">
        <v>49</v>
      </c>
    </row>
    <row r="50" spans="1:381" s="115" customFormat="1" ht="13.9" customHeight="1">
      <c r="B50" s="3561">
        <f>IF(SUM(E18:E48)=0,"",(B18*E18+B19*E19+B20*E20+B21*E21+B22*E22+B23*E23+B24*E24+B25*E25+B26*E26+B27*E27+B28*E28+B29*E29+B30*E30+B31*E31+B32*E32+B33*E33+B34*E34+B35*E35+B36*E36+B37*E37+B38*E38+B39*E39+B40*E40+B41*E41+B42*E42+B43*E43+B44*E44+B45*E45+B46*E46+B47*E47+B48*E48)/SUM(E18:E48))</f>
        <v>57.8</v>
      </c>
      <c r="C50" s="3562"/>
      <c r="D50" s="119" t="s">
        <v>3556</v>
      </c>
      <c r="E50" s="1051">
        <f>SUM(E18:E48)</f>
        <v>50</v>
      </c>
      <c r="F50" s="1053">
        <f>(E18*F18+E19*F19+E20*F20+E21*F21+E22*F22+E23*F23+E24*F24+E25*F25+E26*F26+E27*F27+E28*F28+E29*F29+E30*F30+E31*F31+E32*F32+E33*F33+E34*F34+E35*F35+E36*F36+E37*F37+E38*F38+E39*F39+E40*F40+E41*F41+E42*F42+E43*F43+E44*F44+E45*F45+E46*F46+E47*F47+E48*F48)</f>
        <v>43222</v>
      </c>
      <c r="H50" s="3560"/>
      <c r="I50" s="1057" t="s">
        <v>3648</v>
      </c>
      <c r="J50" s="1058" t="str">
        <f>IF(P67=0,"",IF(SUM(P59:P62)/P67&gt;=0.2,"Pass","Fail"))</f>
        <v>Pass</v>
      </c>
      <c r="K50" s="447"/>
      <c r="L50" s="107" t="s">
        <v>756</v>
      </c>
      <c r="M50" s="94">
        <f>M49*12</f>
        <v>591540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4341</v>
      </c>
      <c r="NQ50" s="2482">
        <v>50</v>
      </c>
    </row>
    <row r="51" spans="1:381" ht="6.95" customHeight="1">
      <c r="A51" s="3563" t="s">
        <v>5023</v>
      </c>
      <c r="B51" s="3517"/>
      <c r="C51" s="3517"/>
      <c r="D51" s="3517"/>
      <c r="E51" s="3517"/>
      <c r="F51" s="3517"/>
      <c r="G51" s="3517"/>
      <c r="H51" s="3517"/>
      <c r="I51" s="3517"/>
      <c r="J51" s="3517"/>
      <c r="K51" s="3517"/>
      <c r="L51" s="3517"/>
      <c r="M51" s="3517"/>
      <c r="N51" s="3517"/>
      <c r="O51" s="3517"/>
      <c r="P51" s="3517"/>
      <c r="Q51" s="3517"/>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7"/>
      <c r="B52" s="3517"/>
      <c r="C52" s="3517"/>
      <c r="D52" s="3517"/>
      <c r="E52" s="3517"/>
      <c r="F52" s="3517"/>
      <c r="G52" s="3517"/>
      <c r="H52" s="3517"/>
      <c r="I52" s="3517"/>
      <c r="J52" s="3517"/>
      <c r="K52" s="3517"/>
      <c r="L52" s="3517"/>
      <c r="M52" s="3517"/>
      <c r="N52" s="3517"/>
      <c r="O52" s="3517"/>
      <c r="P52" s="3517"/>
      <c r="Q52" s="3517"/>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4536</v>
      </c>
      <c r="O53" s="3555" t="s">
        <v>3688</v>
      </c>
      <c r="P53" s="3556"/>
      <c r="S53" s="3504" t="str">
        <f>B53</f>
        <v>UNIT SUMMARY</v>
      </c>
      <c r="T53" s="3504"/>
      <c r="U53" s="3504"/>
      <c r="V53" s="3504"/>
      <c r="AY53" s="358"/>
      <c r="BD53" s="358"/>
      <c r="LO53" s="360"/>
      <c r="MD53" s="356"/>
      <c r="NQ53" s="2483">
        <v>53</v>
      </c>
    </row>
    <row r="54" spans="1:381" ht="14.25" customHeight="1">
      <c r="A54" s="10"/>
      <c r="B54" s="10"/>
      <c r="K54" s="144" t="s">
        <v>4538</v>
      </c>
      <c r="O54" s="3513" t="s">
        <v>5126</v>
      </c>
      <c r="P54" s="3514"/>
      <c r="S54" s="95"/>
      <c r="T54" s="95"/>
      <c r="U54" s="367"/>
      <c r="AY54" s="358"/>
      <c r="BD54" s="358"/>
      <c r="LO54" s="360"/>
      <c r="MD54" s="356"/>
      <c r="NQ54" s="2482">
        <v>54</v>
      </c>
    </row>
    <row r="55" spans="1:381" ht="14.65" customHeight="1">
      <c r="A55" s="10"/>
      <c r="B55" s="10" t="s">
        <v>4390</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5" t="s">
        <v>3944</v>
      </c>
      <c r="B56" s="3515"/>
      <c r="C56" s="72" t="s">
        <v>1068</v>
      </c>
      <c r="D56" s="1"/>
      <c r="E56" s="1"/>
      <c r="F56" s="1"/>
      <c r="G56" s="62"/>
      <c r="H56" s="81" t="s">
        <v>3557</v>
      </c>
      <c r="I56" s="29"/>
      <c r="J56" s="62"/>
      <c r="K56" s="1065">
        <f>X49</f>
        <v>0</v>
      </c>
      <c r="L56" s="1066">
        <f>Y49</f>
        <v>5</v>
      </c>
      <c r="M56" s="1066">
        <f>Z49</f>
        <v>1</v>
      </c>
      <c r="N56" s="1066">
        <f>AA49</f>
        <v>1</v>
      </c>
      <c r="O56" s="1067">
        <f>AB49</f>
        <v>0</v>
      </c>
      <c r="P56" s="736">
        <f t="shared" ref="P56:P67" si="344">SUM(K56:O56)</f>
        <v>7</v>
      </c>
      <c r="Q56" s="3516" t="s">
        <v>3101</v>
      </c>
      <c r="R56" s="876"/>
      <c r="S56" s="3508"/>
      <c r="T56" s="3509"/>
      <c r="U56" s="3509"/>
      <c r="V56" s="3509"/>
      <c r="W56" s="3510"/>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5"/>
      <c r="B57" s="3515"/>
      <c r="C57" s="72"/>
      <c r="D57" s="1"/>
      <c r="E57" s="1"/>
      <c r="F57" s="1"/>
      <c r="G57" s="62"/>
      <c r="H57" s="81" t="s">
        <v>3558</v>
      </c>
      <c r="I57" s="29"/>
      <c r="J57" s="62"/>
      <c r="K57" s="1068">
        <f>AC49</f>
        <v>0</v>
      </c>
      <c r="L57" s="1069">
        <f>AD49</f>
        <v>0</v>
      </c>
      <c r="M57" s="1069">
        <f>AE49</f>
        <v>0</v>
      </c>
      <c r="N57" s="1069">
        <f>AF49</f>
        <v>0</v>
      </c>
      <c r="O57" s="1070">
        <f>AG49</f>
        <v>0</v>
      </c>
      <c r="P57" s="732">
        <f t="shared" si="344"/>
        <v>0</v>
      </c>
      <c r="Q57" s="3516"/>
      <c r="R57" s="876"/>
      <c r="S57" s="3488"/>
      <c r="T57" s="3489"/>
      <c r="U57" s="3489"/>
      <c r="V57" s="3489"/>
      <c r="W57" s="3490"/>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5"/>
      <c r="B58" s="3515"/>
      <c r="C58" s="72"/>
      <c r="D58" s="1"/>
      <c r="E58" s="1"/>
      <c r="F58" s="1"/>
      <c r="G58" s="62"/>
      <c r="H58" s="81" t="s">
        <v>1080</v>
      </c>
      <c r="I58" s="29"/>
      <c r="J58" s="62"/>
      <c r="K58" s="1068">
        <f>AH49</f>
        <v>0</v>
      </c>
      <c r="L58" s="1069">
        <f>AI49</f>
        <v>14</v>
      </c>
      <c r="M58" s="1069">
        <f>AJ49</f>
        <v>3</v>
      </c>
      <c r="N58" s="1069">
        <f>AK49</f>
        <v>1</v>
      </c>
      <c r="O58" s="1070">
        <f>AL49</f>
        <v>0</v>
      </c>
      <c r="P58" s="732">
        <f t="shared" si="344"/>
        <v>18</v>
      </c>
      <c r="Q58" s="3516"/>
      <c r="R58" s="876"/>
      <c r="S58" s="3488"/>
      <c r="T58" s="3489"/>
      <c r="U58" s="3489"/>
      <c r="V58" s="3489"/>
      <c r="W58" s="3490"/>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5"/>
      <c r="B59" s="3515"/>
      <c r="C59" s="72"/>
      <c r="D59" s="1"/>
      <c r="E59" s="1"/>
      <c r="F59" s="1"/>
      <c r="G59" s="62"/>
      <c r="H59" s="81" t="s">
        <v>112</v>
      </c>
      <c r="I59" s="29"/>
      <c r="J59" s="899"/>
      <c r="K59" s="1089">
        <f>AM49</f>
        <v>0</v>
      </c>
      <c r="L59" s="1090">
        <f>AN49</f>
        <v>18</v>
      </c>
      <c r="M59" s="1090">
        <f>AO49</f>
        <v>4</v>
      </c>
      <c r="N59" s="1090">
        <f>AP49</f>
        <v>3</v>
      </c>
      <c r="O59" s="1091">
        <f>AQ49</f>
        <v>0</v>
      </c>
      <c r="P59" s="465">
        <f t="shared" si="344"/>
        <v>25</v>
      </c>
      <c r="Q59" s="3516"/>
      <c r="R59" s="876"/>
      <c r="S59" s="3488"/>
      <c r="T59" s="3489"/>
      <c r="U59" s="3489"/>
      <c r="V59" s="3489"/>
      <c r="W59" s="3490"/>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5"/>
      <c r="B60" s="3515"/>
      <c r="C60" s="72"/>
      <c r="D60" s="1"/>
      <c r="E60" s="1"/>
      <c r="F60" s="1"/>
      <c r="G60" s="62"/>
      <c r="H60" s="81" t="s">
        <v>3559</v>
      </c>
      <c r="I60" s="29"/>
      <c r="J60" s="899"/>
      <c r="K60" s="1068">
        <f>AR49</f>
        <v>0</v>
      </c>
      <c r="L60" s="1069">
        <f>AS49</f>
        <v>0</v>
      </c>
      <c r="M60" s="1069">
        <f>AT49</f>
        <v>0</v>
      </c>
      <c r="N60" s="1069">
        <f>AU49</f>
        <v>0</v>
      </c>
      <c r="O60" s="1070">
        <f>AV49</f>
        <v>0</v>
      </c>
      <c r="P60" s="732">
        <f t="shared" si="344"/>
        <v>0</v>
      </c>
      <c r="Q60" s="3516"/>
      <c r="R60" s="876"/>
      <c r="S60" s="3488"/>
      <c r="T60" s="3489"/>
      <c r="U60" s="3489"/>
      <c r="V60" s="3489"/>
      <c r="W60" s="3490"/>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5"/>
      <c r="B61" s="3515"/>
      <c r="C61" s="72"/>
      <c r="D61" s="1"/>
      <c r="E61" s="1"/>
      <c r="F61" s="1"/>
      <c r="G61" s="62"/>
      <c r="H61" s="81" t="s">
        <v>3560</v>
      </c>
      <c r="I61" s="29"/>
      <c r="J61" s="62"/>
      <c r="K61" s="1068">
        <f>AW49</f>
        <v>0</v>
      </c>
      <c r="L61" s="1069">
        <f>AX49</f>
        <v>0</v>
      </c>
      <c r="M61" s="1069">
        <f>AY49</f>
        <v>0</v>
      </c>
      <c r="N61" s="1069">
        <f>AZ49</f>
        <v>0</v>
      </c>
      <c r="O61" s="1070">
        <f>BA49</f>
        <v>0</v>
      </c>
      <c r="P61" s="732">
        <f t="shared" si="344"/>
        <v>0</v>
      </c>
      <c r="Q61" s="3516"/>
      <c r="R61" s="876"/>
      <c r="S61" s="3488"/>
      <c r="T61" s="3489"/>
      <c r="U61" s="3489"/>
      <c r="V61" s="3489"/>
      <c r="W61" s="3490"/>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5"/>
      <c r="B62" s="3515"/>
      <c r="C62" s="4"/>
      <c r="D62" s="1"/>
      <c r="E62" s="1"/>
      <c r="F62" s="1"/>
      <c r="G62" s="62"/>
      <c r="H62" s="81" t="s">
        <v>3561</v>
      </c>
      <c r="I62" s="29"/>
      <c r="J62" s="62"/>
      <c r="K62" s="1071">
        <f>BB49</f>
        <v>0</v>
      </c>
      <c r="L62" s="1072">
        <f>BC49</f>
        <v>0</v>
      </c>
      <c r="M62" s="1072">
        <f>BD49</f>
        <v>0</v>
      </c>
      <c r="N62" s="1072">
        <f>BE49</f>
        <v>0</v>
      </c>
      <c r="O62" s="1073">
        <f>BF49</f>
        <v>0</v>
      </c>
      <c r="P62" s="465">
        <f t="shared" si="344"/>
        <v>0</v>
      </c>
      <c r="Q62" s="3516"/>
      <c r="R62" s="876"/>
      <c r="S62" s="3488"/>
      <c r="T62" s="3489"/>
      <c r="U62" s="3489"/>
      <c r="V62" s="3489"/>
      <c r="W62" s="3490"/>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5"/>
      <c r="B63" s="3515"/>
      <c r="C63" s="81" t="s">
        <v>3643</v>
      </c>
      <c r="D63" s="1"/>
      <c r="E63" s="1"/>
      <c r="F63" s="1"/>
      <c r="G63" s="62"/>
      <c r="H63" s="68"/>
      <c r="I63" s="44"/>
      <c r="J63" s="62"/>
      <c r="K63" s="1033">
        <f>SUM(K56:K62)</f>
        <v>0</v>
      </c>
      <c r="L63" s="1033">
        <f>SUM(L56:L62)</f>
        <v>37</v>
      </c>
      <c r="M63" s="1033">
        <f>SUM(M56:M62)</f>
        <v>8</v>
      </c>
      <c r="N63" s="1033">
        <f>SUM(N56:N62)</f>
        <v>5</v>
      </c>
      <c r="O63" s="1033">
        <f>SUM(O56:O62)</f>
        <v>0</v>
      </c>
      <c r="P63" s="1033">
        <f t="shared" si="344"/>
        <v>50</v>
      </c>
      <c r="Q63" s="3517"/>
      <c r="S63" s="3488"/>
      <c r="T63" s="3489"/>
      <c r="U63" s="3489"/>
      <c r="V63" s="3489"/>
      <c r="W63" s="3490"/>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5"/>
      <c r="B64" s="3515"/>
      <c r="D64" s="1"/>
      <c r="E64" s="1"/>
      <c r="F64" s="1"/>
      <c r="G64" s="62"/>
      <c r="H64" s="81" t="s">
        <v>290</v>
      </c>
      <c r="I64" s="29"/>
      <c r="J64" s="62"/>
      <c r="K64" s="733">
        <f>BG49</f>
        <v>0</v>
      </c>
      <c r="L64" s="733">
        <f>BH49</f>
        <v>0</v>
      </c>
      <c r="M64" s="733">
        <f>BI49</f>
        <v>0</v>
      </c>
      <c r="N64" s="733">
        <f>BJ49</f>
        <v>0</v>
      </c>
      <c r="O64" s="733">
        <f>BK49</f>
        <v>0</v>
      </c>
      <c r="P64" s="733">
        <f t="shared" si="344"/>
        <v>0</v>
      </c>
      <c r="S64" s="3488"/>
      <c r="T64" s="3489"/>
      <c r="U64" s="3489"/>
      <c r="V64" s="3489"/>
      <c r="W64" s="3490"/>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5"/>
      <c r="B65" s="3515"/>
      <c r="C65" s="1038" t="s">
        <v>1069</v>
      </c>
      <c r="D65" s="1038"/>
      <c r="E65" s="1038"/>
      <c r="F65" s="1038"/>
      <c r="G65" s="1039"/>
      <c r="H65" s="1375"/>
      <c r="I65" s="42"/>
      <c r="J65" s="1039"/>
      <c r="K65" s="1040">
        <f>SUM(K63:K64)</f>
        <v>0</v>
      </c>
      <c r="L65" s="1040">
        <f>SUM(L63:L64)</f>
        <v>37</v>
      </c>
      <c r="M65" s="1040">
        <f>SUM(M63:M64)</f>
        <v>8</v>
      </c>
      <c r="N65" s="1040">
        <f>SUM(N63:N64)</f>
        <v>5</v>
      </c>
      <c r="O65" s="1040">
        <f>SUM(O63:O64)</f>
        <v>0</v>
      </c>
      <c r="P65" s="1040">
        <f t="shared" si="344"/>
        <v>50</v>
      </c>
      <c r="S65" s="3488"/>
      <c r="T65" s="3489"/>
      <c r="U65" s="3489"/>
      <c r="V65" s="3489"/>
      <c r="W65" s="3490"/>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5"/>
      <c r="B66" s="3515"/>
      <c r="D66" s="1"/>
      <c r="E66" s="1"/>
      <c r="F66" s="1"/>
      <c r="G66" s="62"/>
      <c r="H66" s="81" t="s">
        <v>2303</v>
      </c>
      <c r="I66" s="29"/>
      <c r="J66" s="62"/>
      <c r="K66" s="733">
        <f>ED49</f>
        <v>0</v>
      </c>
      <c r="L66" s="733">
        <f>EE49</f>
        <v>0</v>
      </c>
      <c r="M66" s="733">
        <f>EF49</f>
        <v>0</v>
      </c>
      <c r="N66" s="733">
        <f>EG49</f>
        <v>0</v>
      </c>
      <c r="O66" s="733">
        <f>EH49</f>
        <v>0</v>
      </c>
      <c r="P66" s="733">
        <f t="shared" si="344"/>
        <v>0</v>
      </c>
      <c r="Q66" s="147" t="s">
        <v>3102</v>
      </c>
      <c r="S66" s="3488"/>
      <c r="T66" s="3489"/>
      <c r="U66" s="3489"/>
      <c r="V66" s="3489"/>
      <c r="W66" s="3490"/>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5"/>
      <c r="B67" s="3515"/>
      <c r="C67" s="4" t="s">
        <v>1662</v>
      </c>
      <c r="D67" s="1"/>
      <c r="E67" s="1"/>
      <c r="F67" s="1"/>
      <c r="G67" s="62"/>
      <c r="H67" s="81"/>
      <c r="I67" s="29"/>
      <c r="J67" s="62"/>
      <c r="K67" s="1032">
        <f>SUM(K65:K66)</f>
        <v>0</v>
      </c>
      <c r="L67" s="1032">
        <f>SUM(L65:L66)</f>
        <v>37</v>
      </c>
      <c r="M67" s="1032">
        <f>SUM(M65:M66)</f>
        <v>8</v>
      </c>
      <c r="N67" s="1032">
        <f>SUM(N65:N66)</f>
        <v>5</v>
      </c>
      <c r="O67" s="1032">
        <f>SUM(O65:O66)</f>
        <v>0</v>
      </c>
      <c r="P67" s="1032">
        <f t="shared" si="344"/>
        <v>50</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15"/>
      <c r="B68" s="351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5"/>
      <c r="B69" s="3515"/>
      <c r="C69" s="3518" t="s">
        <v>3650</v>
      </c>
      <c r="D69" s="3518"/>
      <c r="E69" s="3518"/>
      <c r="F69" s="3518"/>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15"/>
      <c r="B70" s="3515"/>
      <c r="C70" s="3518"/>
      <c r="D70" s="3518"/>
      <c r="E70" s="3518"/>
      <c r="F70" s="3518"/>
      <c r="G70" s="6"/>
      <c r="H70" s="81" t="s">
        <v>3557</v>
      </c>
      <c r="I70" s="29"/>
      <c r="J70" s="1344"/>
      <c r="K70" s="1369" t="str">
        <f t="shared" ref="K70:P70" si="345">IF(OR(K56=0,K67=0),"",K56/K67)</f>
        <v/>
      </c>
      <c r="L70" s="1370">
        <f t="shared" si="345"/>
        <v>0.13513513513513514</v>
      </c>
      <c r="M70" s="1370">
        <f t="shared" si="345"/>
        <v>0.125</v>
      </c>
      <c r="N70" s="1370">
        <f t="shared" si="345"/>
        <v>0.2</v>
      </c>
      <c r="O70" s="1370" t="str">
        <f t="shared" si="345"/>
        <v/>
      </c>
      <c r="P70" s="1371">
        <f t="shared" si="345"/>
        <v>0.14000000000000001</v>
      </c>
      <c r="Q70" s="33" t="s">
        <v>3938</v>
      </c>
      <c r="S70" s="3508"/>
      <c r="T70" s="3509"/>
      <c r="U70" s="3509"/>
      <c r="V70" s="3509"/>
      <c r="W70" s="3510"/>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5"/>
      <c r="B71" s="3515"/>
      <c r="C71" s="655"/>
      <c r="D71" s="6"/>
      <c r="E71" s="6"/>
      <c r="F71" s="6"/>
      <c r="G71" s="6"/>
      <c r="H71" s="81" t="s">
        <v>4383</v>
      </c>
      <c r="I71" s="29"/>
      <c r="J71" s="1"/>
      <c r="K71" s="1424" t="str">
        <f>IF(OR(K56=0,P70="",K67=0),"",P70*K67)</f>
        <v/>
      </c>
      <c r="L71" s="1424">
        <f>IF(OR(L56=0,P70="",L67=0),"",P70*L67)</f>
        <v>5.1800000000000006</v>
      </c>
      <c r="M71" s="1424">
        <f>IF(OR(M56=0,P70="",M67=0),"",P70*M67)</f>
        <v>1.1200000000000001</v>
      </c>
      <c r="N71" s="1424">
        <f>IF(OR(N56=0,P70="",N67=0),"",P70*N67)</f>
        <v>0.70000000000000007</v>
      </c>
      <c r="O71" s="1424" t="str">
        <f>IF(OR(O56=0,P70="",O67=0),"",P70*O67)</f>
        <v/>
      </c>
      <c r="P71" s="1425">
        <f>IF(OR(P70="",P67=0),"",P70*P67)</f>
        <v>7.0000000000000009</v>
      </c>
      <c r="S71" s="3488"/>
      <c r="T71" s="3489"/>
      <c r="U71" s="3489"/>
      <c r="V71" s="3489"/>
      <c r="W71" s="3490"/>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5"/>
      <c r="B72" s="3515"/>
      <c r="C72" s="655"/>
      <c r="D72" s="6"/>
      <c r="E72" s="6"/>
      <c r="F72" s="6"/>
      <c r="G72" s="1419"/>
      <c r="H72" s="1377" t="s">
        <v>4384</v>
      </c>
      <c r="I72" s="1345"/>
      <c r="J72" s="1"/>
      <c r="K72" s="1426" t="str">
        <f t="shared" ref="K72:P72" si="346">IF(OR(K71="",K56=0),"", K56-K71)</f>
        <v/>
      </c>
      <c r="L72" s="1427">
        <f t="shared" si="346"/>
        <v>-0.1800000000000006</v>
      </c>
      <c r="M72" s="1427">
        <f t="shared" si="346"/>
        <v>-0.12000000000000011</v>
      </c>
      <c r="N72" s="1427">
        <f t="shared" si="346"/>
        <v>0.29999999999999993</v>
      </c>
      <c r="O72" s="1427" t="str">
        <f t="shared" si="346"/>
        <v/>
      </c>
      <c r="P72" s="1428">
        <f t="shared" si="346"/>
        <v>-8.8817841970012523E-16</v>
      </c>
      <c r="S72" s="3488"/>
      <c r="T72" s="3489"/>
      <c r="U72" s="3489"/>
      <c r="V72" s="3489"/>
      <c r="W72" s="3490"/>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5"/>
      <c r="B73" s="3515"/>
      <c r="C73" s="655"/>
      <c r="D73" s="3519" t="s">
        <v>3937</v>
      </c>
      <c r="E73" s="3519"/>
      <c r="F73" s="3519"/>
      <c r="G73" s="6"/>
      <c r="H73" s="81" t="s">
        <v>3558</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8"/>
      <c r="T73" s="3489"/>
      <c r="U73" s="3489"/>
      <c r="V73" s="3489"/>
      <c r="W73" s="3490"/>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9"/>
      <c r="E74" s="3519"/>
      <c r="F74" s="3519"/>
      <c r="G74" s="6"/>
      <c r="H74" s="81" t="s">
        <v>4383</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8"/>
      <c r="T74" s="3489"/>
      <c r="U74" s="3489"/>
      <c r="V74" s="3489"/>
      <c r="W74" s="3490"/>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9"/>
      <c r="E75" s="3519"/>
      <c r="F75" s="3519"/>
      <c r="G75" s="1419"/>
      <c r="H75" s="1377" t="s">
        <v>4384</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8"/>
      <c r="T75" s="3489"/>
      <c r="U75" s="3489"/>
      <c r="V75" s="3489"/>
      <c r="W75" s="3490"/>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3936</v>
      </c>
      <c r="D76" s="3519"/>
      <c r="E76" s="3519"/>
      <c r="F76" s="3519"/>
      <c r="G76" s="6"/>
      <c r="H76" s="81" t="s">
        <v>1080</v>
      </c>
      <c r="I76" s="29"/>
      <c r="J76" s="1"/>
      <c r="K76" s="1372" t="str">
        <f t="shared" ref="K76:P76" si="349">IF(OR(K58=0,K67=0),"",K58/K67)</f>
        <v/>
      </c>
      <c r="L76" s="1373">
        <f t="shared" si="349"/>
        <v>0.3783783783783784</v>
      </c>
      <c r="M76" s="1373">
        <f t="shared" si="349"/>
        <v>0.375</v>
      </c>
      <c r="N76" s="1373">
        <f t="shared" si="349"/>
        <v>0.2</v>
      </c>
      <c r="O76" s="1373" t="str">
        <f t="shared" si="349"/>
        <v/>
      </c>
      <c r="P76" s="1374">
        <f t="shared" si="349"/>
        <v>0.36</v>
      </c>
      <c r="S76" s="3488"/>
      <c r="T76" s="3489"/>
      <c r="U76" s="3489"/>
      <c r="V76" s="3489"/>
      <c r="W76" s="3490"/>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9"/>
      <c r="E77" s="3519"/>
      <c r="F77" s="3519"/>
      <c r="G77" s="6"/>
      <c r="H77" s="81" t="s">
        <v>4383</v>
      </c>
      <c r="I77" s="29"/>
      <c r="J77" s="1"/>
      <c r="K77" s="1424" t="str">
        <f>IF(OR(K58=0,P76="",K67=0),"",P76*K67)</f>
        <v/>
      </c>
      <c r="L77" s="1424">
        <f>IF(OR(L58=0,P76="",L67=0),"",P76*L67)</f>
        <v>13.32</v>
      </c>
      <c r="M77" s="1424">
        <f>IF(OR(M58=0,P76="",M67=0),"",P76*M67)</f>
        <v>2.88</v>
      </c>
      <c r="N77" s="1424">
        <f>IF(OR(N58=0,P76="",N67=0),"",P76*N67)</f>
        <v>1.7999999999999998</v>
      </c>
      <c r="O77" s="1424" t="str">
        <f>IF(OR(O58=0,P76="",O67=0),"",P76*O67)</f>
        <v/>
      </c>
      <c r="P77" s="1425">
        <f>IF(OR(P76="",P67=0),"",P76*P67)</f>
        <v>18</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9"/>
      <c r="E78" s="3519"/>
      <c r="F78" s="3519"/>
      <c r="G78" s="1419"/>
      <c r="H78" s="1377" t="s">
        <v>4384</v>
      </c>
      <c r="I78" s="1345"/>
      <c r="J78" s="1"/>
      <c r="K78" s="1426" t="str">
        <f t="shared" ref="K78:P78" si="350">IF(OR(K77="",K58=0),"", K58-K77)</f>
        <v/>
      </c>
      <c r="L78" s="1426">
        <f t="shared" si="350"/>
        <v>0.67999999999999972</v>
      </c>
      <c r="M78" s="1426">
        <f t="shared" si="350"/>
        <v>0.12000000000000011</v>
      </c>
      <c r="N78" s="1426">
        <f t="shared" si="350"/>
        <v>-0.79999999999999982</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3936</v>
      </c>
      <c r="D79" s="1343"/>
      <c r="E79" s="1343"/>
      <c r="F79" s="6"/>
      <c r="G79" s="6"/>
      <c r="H79" s="81" t="s">
        <v>112</v>
      </c>
      <c r="I79" s="29"/>
      <c r="J79" s="1"/>
      <c r="K79" s="1372" t="str">
        <f t="shared" ref="K79:P79" si="351">IF(OR(K59=0,K67=0),"",K59/K67)</f>
        <v/>
      </c>
      <c r="L79" s="1373">
        <f t="shared" si="351"/>
        <v>0.48648648648648651</v>
      </c>
      <c r="M79" s="1373">
        <f t="shared" si="351"/>
        <v>0.5</v>
      </c>
      <c r="N79" s="1373">
        <f t="shared" si="351"/>
        <v>0.6</v>
      </c>
      <c r="O79" s="1373" t="str">
        <f t="shared" si="351"/>
        <v/>
      </c>
      <c r="P79" s="1374">
        <f t="shared" si="351"/>
        <v>0.5</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4383</v>
      </c>
      <c r="I80" s="29"/>
      <c r="J80" s="1"/>
      <c r="K80" s="1424" t="str">
        <f>IF(OR(K59=0,P79="",K67=0),"",P79*K67)</f>
        <v/>
      </c>
      <c r="L80" s="1424">
        <f>IF(OR(L59=0,P79="",L67=0),"",P79*L67)</f>
        <v>18.5</v>
      </c>
      <c r="M80" s="1424">
        <f>IF(OR(M59=0,P79="",M67=0),"",P79*M67)</f>
        <v>4</v>
      </c>
      <c r="N80" s="1424">
        <f>IF(OR(N59=0,P79="",N67=0),"",P79*N67)</f>
        <v>2.5</v>
      </c>
      <c r="O80" s="1424" t="str">
        <f>IF(OR(O59=0,P79="",O67=0),"",P79*O67)</f>
        <v/>
      </c>
      <c r="P80" s="1425">
        <f>IF(OR(P79="",P67=0),"",P79*P67)</f>
        <v>25</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4384</v>
      </c>
      <c r="I81" s="1345"/>
      <c r="J81" s="1"/>
      <c r="K81" s="1426" t="str">
        <f t="shared" ref="K81:P81" si="352">IF(OR(K80="",K59=0),"", K59-K80)</f>
        <v/>
      </c>
      <c r="L81" s="1426">
        <f t="shared" si="352"/>
        <v>-0.5</v>
      </c>
      <c r="M81" s="1426">
        <f t="shared" si="352"/>
        <v>0</v>
      </c>
      <c r="N81" s="1426">
        <f t="shared" si="352"/>
        <v>0.5</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3936</v>
      </c>
      <c r="D82" s="1343"/>
      <c r="E82" s="1343"/>
      <c r="F82" s="6"/>
      <c r="G82" s="6"/>
      <c r="H82" s="81" t="s">
        <v>3559</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4383</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4384</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3936</v>
      </c>
      <c r="D85" s="6"/>
      <c r="E85" s="6"/>
      <c r="F85" s="6"/>
      <c r="G85" s="6"/>
      <c r="H85" s="81" t="s">
        <v>3560</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4383</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4384</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3936</v>
      </c>
      <c r="D88" s="6"/>
      <c r="E88" s="6"/>
      <c r="F88" s="6"/>
      <c r="G88" s="6"/>
      <c r="H88" s="81" t="s">
        <v>3561</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4383</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4384</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3557</v>
      </c>
      <c r="I93" s="29"/>
      <c r="J93" s="62"/>
      <c r="K93" s="1074">
        <f>CP49</f>
        <v>0</v>
      </c>
      <c r="L93" s="1075">
        <f>CQ49</f>
        <v>0</v>
      </c>
      <c r="M93" s="1075">
        <f>CR49</f>
        <v>0</v>
      </c>
      <c r="N93" s="1075">
        <f>CS49</f>
        <v>0</v>
      </c>
      <c r="O93" s="1076">
        <f>CT49</f>
        <v>0</v>
      </c>
      <c r="P93" s="734">
        <f t="shared" ref="P93:P100" si="359">SUM(K93:O93)</f>
        <v>0</v>
      </c>
      <c r="S93" s="3508"/>
      <c r="T93" s="3509"/>
      <c r="U93" s="3509"/>
      <c r="V93" s="3509"/>
      <c r="W93" s="3510"/>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3558</v>
      </c>
      <c r="I94" s="29"/>
      <c r="J94" s="62"/>
      <c r="K94" s="1077">
        <f>CK49</f>
        <v>0</v>
      </c>
      <c r="L94" s="1078">
        <f>CL49</f>
        <v>0</v>
      </c>
      <c r="M94" s="1078">
        <f>CM49</f>
        <v>0</v>
      </c>
      <c r="N94" s="1078">
        <f>CN49</f>
        <v>0</v>
      </c>
      <c r="O94" s="1079">
        <f>CO49</f>
        <v>0</v>
      </c>
      <c r="P94" s="1031">
        <f t="shared" si="359"/>
        <v>0</v>
      </c>
      <c r="S94" s="3488"/>
      <c r="T94" s="3489"/>
      <c r="U94" s="3489"/>
      <c r="V94" s="3489"/>
      <c r="W94" s="3490"/>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8"/>
      <c r="T95" s="3489"/>
      <c r="U95" s="3489"/>
      <c r="V95" s="3489"/>
      <c r="W95" s="3490"/>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8"/>
      <c r="T96" s="3489"/>
      <c r="U96" s="3489"/>
      <c r="V96" s="3489"/>
      <c r="W96" s="3490"/>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3559</v>
      </c>
      <c r="I97" s="29"/>
      <c r="J97" s="899"/>
      <c r="K97" s="1077">
        <f>BV49</f>
        <v>0</v>
      </c>
      <c r="L97" s="1078">
        <f>BW49</f>
        <v>0</v>
      </c>
      <c r="M97" s="1078">
        <f>BX49</f>
        <v>0</v>
      </c>
      <c r="N97" s="1078">
        <f>BY49</f>
        <v>0</v>
      </c>
      <c r="O97" s="1079">
        <f>BZ49</f>
        <v>0</v>
      </c>
      <c r="P97" s="1031">
        <f t="shared" si="359"/>
        <v>0</v>
      </c>
      <c r="S97" s="3488"/>
      <c r="T97" s="3489"/>
      <c r="U97" s="3489"/>
      <c r="V97" s="3489"/>
      <c r="W97" s="3490"/>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3560</v>
      </c>
      <c r="I98" s="29"/>
      <c r="J98" s="62"/>
      <c r="K98" s="1077">
        <f>BQ49</f>
        <v>0</v>
      </c>
      <c r="L98" s="1078">
        <f>BR49</f>
        <v>0</v>
      </c>
      <c r="M98" s="1078">
        <f>BS49</f>
        <v>0</v>
      </c>
      <c r="N98" s="1078">
        <f>BT49</f>
        <v>0</v>
      </c>
      <c r="O98" s="1079">
        <f>BU49</f>
        <v>0</v>
      </c>
      <c r="P98" s="1031">
        <f t="shared" si="359"/>
        <v>0</v>
      </c>
      <c r="S98" s="3488"/>
      <c r="T98" s="3489"/>
      <c r="U98" s="3489"/>
      <c r="V98" s="3489"/>
      <c r="W98" s="3490"/>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3561</v>
      </c>
      <c r="I99" s="29"/>
      <c r="J99" s="62"/>
      <c r="K99" s="1080">
        <f>BL49</f>
        <v>0</v>
      </c>
      <c r="L99" s="1081">
        <f>BM49</f>
        <v>0</v>
      </c>
      <c r="M99" s="1081">
        <f>BN49</f>
        <v>0</v>
      </c>
      <c r="N99" s="1081">
        <f>BO49</f>
        <v>0</v>
      </c>
      <c r="O99" s="1082">
        <f>BP49</f>
        <v>0</v>
      </c>
      <c r="P99" s="735">
        <f t="shared" si="359"/>
        <v>0</v>
      </c>
      <c r="S99" s="3488"/>
      <c r="T99" s="3489"/>
      <c r="U99" s="3489"/>
      <c r="V99" s="3489"/>
      <c r="W99" s="3490"/>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3750</v>
      </c>
      <c r="H102" s="68"/>
      <c r="L102" s="3501" t="str">
        <f>O53</f>
        <v>Income Averaging</v>
      </c>
      <c r="M102" s="3502"/>
      <c r="N102" s="3502"/>
      <c r="O102" s="3503"/>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3557</v>
      </c>
      <c r="I104" s="29"/>
      <c r="J104" s="62"/>
      <c r="K104" s="1074">
        <f>DY49</f>
        <v>0</v>
      </c>
      <c r="L104" s="1075">
        <f>DZ49</f>
        <v>0</v>
      </c>
      <c r="M104" s="1075">
        <f>EA49</f>
        <v>0</v>
      </c>
      <c r="N104" s="1075">
        <f>EB49</f>
        <v>0</v>
      </c>
      <c r="O104" s="1076">
        <f>EC49</f>
        <v>0</v>
      </c>
      <c r="P104" s="736">
        <f t="shared" ref="P104:P111" si="360">SUM(K104:O104)</f>
        <v>0</v>
      </c>
      <c r="S104" s="3508"/>
      <c r="T104" s="3509"/>
      <c r="U104" s="3509"/>
      <c r="V104" s="3509"/>
      <c r="W104" s="3510"/>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3558</v>
      </c>
      <c r="I105" s="29"/>
      <c r="J105" s="62"/>
      <c r="K105" s="1077">
        <f>DT49</f>
        <v>0</v>
      </c>
      <c r="L105" s="1078">
        <f>DU49</f>
        <v>0</v>
      </c>
      <c r="M105" s="1078">
        <f>DV49</f>
        <v>0</v>
      </c>
      <c r="N105" s="1078">
        <f>DW49</f>
        <v>0</v>
      </c>
      <c r="O105" s="1079">
        <f>DX49</f>
        <v>0</v>
      </c>
      <c r="P105" s="732">
        <f t="shared" si="360"/>
        <v>0</v>
      </c>
      <c r="S105" s="3488"/>
      <c r="T105" s="3489"/>
      <c r="U105" s="3489"/>
      <c r="V105" s="3489"/>
      <c r="W105" s="3490"/>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8"/>
      <c r="T106" s="3489"/>
      <c r="U106" s="3489"/>
      <c r="V106" s="3489"/>
      <c r="W106" s="3490"/>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8"/>
      <c r="T107" s="3489"/>
      <c r="U107" s="3489"/>
      <c r="V107" s="3489"/>
      <c r="W107" s="3490"/>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3559</v>
      </c>
      <c r="I108" s="29"/>
      <c r="J108" s="899"/>
      <c r="K108" s="1077">
        <f>DE49</f>
        <v>0</v>
      </c>
      <c r="L108" s="1078">
        <f>DF49</f>
        <v>0</v>
      </c>
      <c r="M108" s="1078">
        <f>DG49</f>
        <v>0</v>
      </c>
      <c r="N108" s="1078">
        <f>DH49</f>
        <v>0</v>
      </c>
      <c r="O108" s="1079">
        <f>DI49</f>
        <v>0</v>
      </c>
      <c r="P108" s="732">
        <f t="shared" si="360"/>
        <v>0</v>
      </c>
      <c r="S108" s="3488"/>
      <c r="T108" s="3489"/>
      <c r="U108" s="3489"/>
      <c r="V108" s="3489"/>
      <c r="W108" s="3490"/>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3560</v>
      </c>
      <c r="I109" s="29"/>
      <c r="J109" s="62"/>
      <c r="K109" s="1077">
        <f>CZ49</f>
        <v>0</v>
      </c>
      <c r="L109" s="1078">
        <f>DA49</f>
        <v>0</v>
      </c>
      <c r="M109" s="1078">
        <f>DB49</f>
        <v>0</v>
      </c>
      <c r="N109" s="1078">
        <f>DC49</f>
        <v>0</v>
      </c>
      <c r="O109" s="1079">
        <f>DD49</f>
        <v>0</v>
      </c>
      <c r="P109" s="732">
        <f t="shared" si="360"/>
        <v>0</v>
      </c>
      <c r="S109" s="3488"/>
      <c r="T109" s="3489"/>
      <c r="U109" s="3489"/>
      <c r="V109" s="3489"/>
      <c r="W109" s="3490"/>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3561</v>
      </c>
      <c r="I110" s="29"/>
      <c r="J110" s="62"/>
      <c r="K110" s="1080">
        <f>CU49</f>
        <v>0</v>
      </c>
      <c r="L110" s="1081">
        <f>CV49</f>
        <v>0</v>
      </c>
      <c r="M110" s="1081">
        <f>CW49</f>
        <v>0</v>
      </c>
      <c r="N110" s="1081">
        <f>CX49</f>
        <v>0</v>
      </c>
      <c r="O110" s="1082">
        <f>CY49</f>
        <v>0</v>
      </c>
      <c r="P110" s="733">
        <f t="shared" si="360"/>
        <v>0</v>
      </c>
      <c r="S110" s="3488"/>
      <c r="T110" s="3489"/>
      <c r="U110" s="3489"/>
      <c r="V110" s="3489"/>
      <c r="W110" s="3490"/>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506" t="s">
        <v>35</v>
      </c>
      <c r="D113" s="3506"/>
      <c r="E113" s="81" t="s">
        <v>4824</v>
      </c>
      <c r="F113" s="1"/>
      <c r="G113" s="62"/>
      <c r="H113" s="81" t="s">
        <v>1341</v>
      </c>
      <c r="I113" s="29"/>
      <c r="J113" s="62"/>
      <c r="K113" s="1065">
        <f>GG49</f>
        <v>0</v>
      </c>
      <c r="L113" s="1066">
        <f>GH49</f>
        <v>37</v>
      </c>
      <c r="M113" s="1066">
        <f>GI49</f>
        <v>8</v>
      </c>
      <c r="N113" s="1066">
        <f>GJ49</f>
        <v>5</v>
      </c>
      <c r="O113" s="1067">
        <f>GK49</f>
        <v>0</v>
      </c>
      <c r="P113" s="736">
        <f t="shared" ref="P113:P123" si="361">SUM(K113:O113)</f>
        <v>50</v>
      </c>
      <c r="S113" s="3508"/>
      <c r="T113" s="3509"/>
      <c r="U113" s="3509"/>
      <c r="V113" s="3509"/>
      <c r="W113" s="3510"/>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506"/>
      <c r="D114" s="3506"/>
      <c r="E114" s="81"/>
      <c r="F114" s="1"/>
      <c r="G114" s="62"/>
      <c r="H114" s="81" t="s">
        <v>290</v>
      </c>
      <c r="I114" s="29"/>
      <c r="J114" s="62"/>
      <c r="K114" s="1071">
        <f>GL49</f>
        <v>0</v>
      </c>
      <c r="L114" s="1072">
        <f>GM49</f>
        <v>0</v>
      </c>
      <c r="M114" s="1072">
        <f>GN49</f>
        <v>0</v>
      </c>
      <c r="N114" s="1072">
        <f>GO49</f>
        <v>0</v>
      </c>
      <c r="O114" s="1073">
        <f>GP49</f>
        <v>0</v>
      </c>
      <c r="P114" s="733">
        <f t="shared" si="361"/>
        <v>0</v>
      </c>
      <c r="S114" s="3488"/>
      <c r="T114" s="3489"/>
      <c r="U114" s="3489"/>
      <c r="V114" s="3489"/>
      <c r="W114" s="3490"/>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6"/>
      <c r="D115" s="3506"/>
      <c r="E115" s="81"/>
      <c r="F115" s="1"/>
      <c r="G115" s="62"/>
      <c r="H115" s="141" t="s">
        <v>29</v>
      </c>
      <c r="I115" s="646" t="s">
        <v>4831</v>
      </c>
      <c r="J115" s="2096">
        <f>IF($P$67=0,0,P115/$P$67)</f>
        <v>1</v>
      </c>
      <c r="K115" s="1034">
        <f>SUM(K113:K114)+GQ49</f>
        <v>0</v>
      </c>
      <c r="L115" s="1034">
        <f>SUM(L113:L114)+GR49</f>
        <v>37</v>
      </c>
      <c r="M115" s="1034">
        <f>SUM(M113:M114)+GS49</f>
        <v>8</v>
      </c>
      <c r="N115" s="1034">
        <f>SUM(N113:N114)+GT49</f>
        <v>5</v>
      </c>
      <c r="O115" s="1034">
        <f>SUM(O113:O114)+GU49</f>
        <v>0</v>
      </c>
      <c r="P115" s="1034">
        <f t="shared" si="361"/>
        <v>50</v>
      </c>
      <c r="S115" s="3488"/>
      <c r="T115" s="3489"/>
      <c r="U115" s="3489"/>
      <c r="V115" s="3489"/>
      <c r="W115" s="3490"/>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506"/>
      <c r="D116" s="3506"/>
      <c r="E116" s="81" t="s">
        <v>1978</v>
      </c>
      <c r="F116" s="1"/>
      <c r="G116" s="62"/>
      <c r="H116" s="81" t="s">
        <v>1341</v>
      </c>
      <c r="I116" s="29"/>
      <c r="J116" s="62"/>
      <c r="K116" s="1065">
        <f>GV49</f>
        <v>0</v>
      </c>
      <c r="L116" s="1066">
        <f>GW49</f>
        <v>0</v>
      </c>
      <c r="M116" s="1066">
        <f>GX49</f>
        <v>0</v>
      </c>
      <c r="N116" s="1066">
        <f>GY49</f>
        <v>0</v>
      </c>
      <c r="O116" s="1067">
        <f>GZ49</f>
        <v>0</v>
      </c>
      <c r="P116" s="736">
        <f t="shared" si="361"/>
        <v>0</v>
      </c>
      <c r="S116" s="3488"/>
      <c r="T116" s="3489"/>
      <c r="U116" s="3489"/>
      <c r="V116" s="3489"/>
      <c r="W116" s="3490"/>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506"/>
      <c r="D117" s="3506"/>
      <c r="E117" s="81"/>
      <c r="F117" s="1"/>
      <c r="G117" s="62"/>
      <c r="H117" s="81" t="s">
        <v>290</v>
      </c>
      <c r="I117" s="29"/>
      <c r="J117" s="62"/>
      <c r="K117" s="1071">
        <f>HA49</f>
        <v>0</v>
      </c>
      <c r="L117" s="1072">
        <f>HB49</f>
        <v>0</v>
      </c>
      <c r="M117" s="1072">
        <f>HC49</f>
        <v>0</v>
      </c>
      <c r="N117" s="1072">
        <f>HD49</f>
        <v>0</v>
      </c>
      <c r="O117" s="1073">
        <f>HE49</f>
        <v>0</v>
      </c>
      <c r="P117" s="733">
        <f t="shared" si="361"/>
        <v>0</v>
      </c>
      <c r="S117" s="3488"/>
      <c r="T117" s="3489"/>
      <c r="U117" s="3489"/>
      <c r="V117" s="3489"/>
      <c r="W117" s="3490"/>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6"/>
      <c r="D118" s="3506"/>
      <c r="E118" s="81"/>
      <c r="F118" s="1"/>
      <c r="G118" s="62"/>
      <c r="H118" s="141" t="s">
        <v>29</v>
      </c>
      <c r="I118" s="646" t="s">
        <v>4831</v>
      </c>
      <c r="J118" s="2096">
        <f>IF($P$67=0,0,P118/$P$67)</f>
        <v>0</v>
      </c>
      <c r="K118" s="1034">
        <f>SUM(K116:K117)+HF49</f>
        <v>0</v>
      </c>
      <c r="L118" s="1034">
        <f>SUM(L116:L117)+HG49</f>
        <v>0</v>
      </c>
      <c r="M118" s="1034">
        <f>SUM(M116:M117)+HH49</f>
        <v>0</v>
      </c>
      <c r="N118" s="1034">
        <f>SUM(N116:N117)+HI49</f>
        <v>0</v>
      </c>
      <c r="O118" s="1034">
        <f>SUM(O116:O117)+HJ49</f>
        <v>0</v>
      </c>
      <c r="P118" s="1034">
        <f t="shared" si="361"/>
        <v>0</v>
      </c>
      <c r="S118" s="3488"/>
      <c r="T118" s="3489"/>
      <c r="U118" s="3489"/>
      <c r="V118" s="3489"/>
      <c r="W118" s="3490"/>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11" t="s">
        <v>1335</v>
      </c>
      <c r="F119" s="3511"/>
      <c r="G119" s="62"/>
      <c r="H119" s="81" t="s">
        <v>1341</v>
      </c>
      <c r="I119" s="29"/>
      <c r="J119" s="62"/>
      <c r="K119" s="1065">
        <f>HK49</f>
        <v>0</v>
      </c>
      <c r="L119" s="1066">
        <f>HL49</f>
        <v>0</v>
      </c>
      <c r="M119" s="1066">
        <f>HM49</f>
        <v>0</v>
      </c>
      <c r="N119" s="1066">
        <f>HN49</f>
        <v>0</v>
      </c>
      <c r="O119" s="1067">
        <f>HO49</f>
        <v>0</v>
      </c>
      <c r="P119" s="736">
        <f t="shared" si="361"/>
        <v>0</v>
      </c>
      <c r="S119" s="3488"/>
      <c r="T119" s="3489"/>
      <c r="U119" s="3489"/>
      <c r="V119" s="3489"/>
      <c r="W119" s="3490"/>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11"/>
      <c r="F120" s="3511"/>
      <c r="G120" s="62"/>
      <c r="H120" s="81" t="s">
        <v>290</v>
      </c>
      <c r="I120" s="29"/>
      <c r="J120" s="62"/>
      <c r="K120" s="1071">
        <f>HP49</f>
        <v>0</v>
      </c>
      <c r="L120" s="1072">
        <f>HQ49</f>
        <v>0</v>
      </c>
      <c r="M120" s="1072">
        <f>HR49</f>
        <v>0</v>
      </c>
      <c r="N120" s="1072">
        <f>HS49</f>
        <v>0</v>
      </c>
      <c r="O120" s="1073">
        <f>HT49</f>
        <v>0</v>
      </c>
      <c r="P120" s="733">
        <f t="shared" si="361"/>
        <v>0</v>
      </c>
      <c r="S120" s="3488"/>
      <c r="T120" s="3489"/>
      <c r="U120" s="3489"/>
      <c r="V120" s="3489"/>
      <c r="W120" s="3490"/>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4831</v>
      </c>
      <c r="J121" s="2096">
        <f>IF($P$67=0,0,P121/$P$67)</f>
        <v>0</v>
      </c>
      <c r="K121" s="1034">
        <f>SUM(K119:K120)+HU49</f>
        <v>0</v>
      </c>
      <c r="L121" s="1034">
        <f>SUM(L119:L120)+HV49</f>
        <v>0</v>
      </c>
      <c r="M121" s="1034">
        <f>SUM(M119:M120)+HW49</f>
        <v>0</v>
      </c>
      <c r="N121" s="1034">
        <f>SUM(N119:N120)+HX49</f>
        <v>0</v>
      </c>
      <c r="O121" s="1034">
        <f>SUM(O119:O120)+HY49</f>
        <v>0</v>
      </c>
      <c r="P121" s="1034">
        <f t="shared" si="361"/>
        <v>0</v>
      </c>
      <c r="S121" s="3488"/>
      <c r="T121" s="3489"/>
      <c r="U121" s="3489"/>
      <c r="V121" s="3489"/>
      <c r="W121" s="3490"/>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4825</v>
      </c>
      <c r="F122" s="1"/>
      <c r="G122" s="147"/>
      <c r="H122" s="87"/>
      <c r="I122" s="62"/>
      <c r="J122" s="62"/>
      <c r="K122" s="466"/>
      <c r="L122" s="466">
        <v>0</v>
      </c>
      <c r="M122" s="466">
        <v>0</v>
      </c>
      <c r="N122" s="466">
        <v>0</v>
      </c>
      <c r="O122" s="466"/>
      <c r="P122" s="462">
        <f t="shared" si="361"/>
        <v>0</v>
      </c>
      <c r="S122" s="3488"/>
      <c r="T122" s="3489"/>
      <c r="U122" s="3489"/>
      <c r="V122" s="3489"/>
      <c r="W122" s="3490"/>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2" t="str">
        <f>IF(AND('Part III-A-Uses of Funds'!$T$179="Yes",'Part VIII Scoring Criteria'!$O$339&gt;0,P123&lt;1),"SHOW HISTORIC UNITS HERE &gt;&gt;&gt;&gt;","")</f>
        <v/>
      </c>
      <c r="B123" s="3512"/>
      <c r="C123" s="3512"/>
      <c r="D123" s="3512"/>
      <c r="E123" s="382" t="s">
        <v>2938</v>
      </c>
      <c r="F123" s="1"/>
      <c r="G123" s="147"/>
      <c r="H123" s="87"/>
      <c r="I123" s="62"/>
      <c r="J123" s="62"/>
      <c r="K123" s="467"/>
      <c r="L123" s="467">
        <v>0</v>
      </c>
      <c r="M123" s="467">
        <v>0</v>
      </c>
      <c r="N123" s="467">
        <v>0</v>
      </c>
      <c r="O123" s="467"/>
      <c r="P123" s="463">
        <f t="shared" si="361"/>
        <v>0</v>
      </c>
      <c r="S123" s="3488"/>
      <c r="T123" s="3489"/>
      <c r="U123" s="3489"/>
      <c r="V123" s="3489"/>
      <c r="W123" s="3490"/>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8"/>
      <c r="T124" s="3489"/>
      <c r="U124" s="3489"/>
      <c r="V124" s="3489"/>
      <c r="W124" s="3490"/>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2926</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6" t="s">
        <v>4823</v>
      </c>
      <c r="D127" s="3506"/>
      <c r="E127" s="81" t="s">
        <v>4763</v>
      </c>
      <c r="F127" s="1"/>
      <c r="G127" s="147"/>
      <c r="H127" s="87"/>
      <c r="I127" s="62"/>
      <c r="J127" s="62"/>
      <c r="K127" s="2460" t="s">
        <v>2642</v>
      </c>
      <c r="L127" s="72" t="s">
        <v>4826</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6"/>
      <c r="D128" s="3506"/>
      <c r="E128" s="81"/>
      <c r="K128" s="2461" t="s">
        <v>2645</v>
      </c>
      <c r="L128" s="3506" t="s">
        <v>4827</v>
      </c>
      <c r="M128" s="3506"/>
      <c r="N128" s="3506"/>
      <c r="O128" s="3506"/>
      <c r="P128" s="3506"/>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6"/>
      <c r="D129" s="3506"/>
      <c r="E129" s="81"/>
      <c r="K129" s="464"/>
      <c r="L129" s="3506"/>
      <c r="M129" s="3506"/>
      <c r="N129" s="3506"/>
      <c r="O129" s="3506"/>
      <c r="P129" s="3506"/>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5" t="s">
        <v>4388</v>
      </c>
      <c r="D131" s="3505"/>
      <c r="E131" s="895" t="s">
        <v>36</v>
      </c>
      <c r="F131" s="754"/>
      <c r="G131" s="896"/>
      <c r="H131" s="1378"/>
      <c r="I131" s="897"/>
      <c r="J131" s="898"/>
      <c r="K131" s="1086">
        <f t="shared" ref="K131:P131" si="362">SUM(K132:K139)</f>
        <v>0</v>
      </c>
      <c r="L131" s="1087">
        <f t="shared" si="362"/>
        <v>37</v>
      </c>
      <c r="M131" s="1087">
        <f t="shared" si="362"/>
        <v>8</v>
      </c>
      <c r="N131" s="1087">
        <f t="shared" si="362"/>
        <v>5</v>
      </c>
      <c r="O131" s="1088">
        <f t="shared" si="362"/>
        <v>0</v>
      </c>
      <c r="P131" s="1037">
        <f t="shared" si="362"/>
        <v>50</v>
      </c>
      <c r="S131" s="3508"/>
      <c r="T131" s="3509"/>
      <c r="U131" s="3509"/>
      <c r="V131" s="3509"/>
      <c r="W131" s="3510"/>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6"/>
      <c r="D132" s="3506"/>
      <c r="E132" s="81"/>
      <c r="F132" s="1"/>
      <c r="G132" s="62"/>
      <c r="H132" s="1342" t="s">
        <v>4188</v>
      </c>
      <c r="I132" s="33"/>
      <c r="J132" s="899"/>
      <c r="K132" s="1068">
        <f>JS49</f>
        <v>0</v>
      </c>
      <c r="L132" s="1069">
        <f>JT49</f>
        <v>0</v>
      </c>
      <c r="M132" s="1069">
        <f>JU49</f>
        <v>0</v>
      </c>
      <c r="N132" s="1069">
        <f>JV49</f>
        <v>0</v>
      </c>
      <c r="O132" s="1070">
        <f>JW49</f>
        <v>0</v>
      </c>
      <c r="P132" s="732">
        <f t="shared" ref="P132:P147" si="363">SUM(K132:O132)</f>
        <v>0</v>
      </c>
      <c r="S132" s="3488"/>
      <c r="T132" s="3489"/>
      <c r="U132" s="3489"/>
      <c r="V132" s="3489"/>
      <c r="W132" s="3490"/>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6"/>
      <c r="D133" s="3506"/>
      <c r="E133" s="81"/>
      <c r="F133" s="1"/>
      <c r="G133" s="62"/>
      <c r="H133" s="1379" t="s">
        <v>2926</v>
      </c>
      <c r="I133" s="73"/>
      <c r="J133" s="899"/>
      <c r="K133" s="1603">
        <f>KC49</f>
        <v>0</v>
      </c>
      <c r="L133" s="1604">
        <f>KD49</f>
        <v>0</v>
      </c>
      <c r="M133" s="1604">
        <f>KE49</f>
        <v>0</v>
      </c>
      <c r="N133" s="1604">
        <f>KF49</f>
        <v>0</v>
      </c>
      <c r="O133" s="1605">
        <f>KG49</f>
        <v>0</v>
      </c>
      <c r="P133" s="1615">
        <f t="shared" si="363"/>
        <v>0</v>
      </c>
      <c r="S133" s="3488"/>
      <c r="T133" s="3489"/>
      <c r="U133" s="3489"/>
      <c r="V133" s="3489"/>
      <c r="W133" s="3490"/>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6"/>
      <c r="D134" s="3506"/>
      <c r="E134" s="81"/>
      <c r="F134" s="1"/>
      <c r="G134" s="62"/>
      <c r="H134" s="1342" t="s">
        <v>4375</v>
      </c>
      <c r="I134" s="33"/>
      <c r="J134" s="899"/>
      <c r="K134" s="1068">
        <f>JX49</f>
        <v>0</v>
      </c>
      <c r="L134" s="1069">
        <f>JY49</f>
        <v>37</v>
      </c>
      <c r="M134" s="1069">
        <f>JZ49</f>
        <v>8</v>
      </c>
      <c r="N134" s="1069">
        <f>KA49</f>
        <v>5</v>
      </c>
      <c r="O134" s="1070">
        <f>KB49</f>
        <v>0</v>
      </c>
      <c r="P134" s="732">
        <f t="shared" si="363"/>
        <v>50</v>
      </c>
      <c r="S134" s="3488"/>
      <c r="T134" s="3489"/>
      <c r="U134" s="3489"/>
      <c r="V134" s="3489"/>
      <c r="W134" s="3490"/>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6"/>
      <c r="D135" s="3506"/>
      <c r="E135" s="81"/>
      <c r="F135" s="1"/>
      <c r="G135" s="62"/>
      <c r="H135" s="1379" t="s">
        <v>2926</v>
      </c>
      <c r="I135" s="73"/>
      <c r="J135" s="899"/>
      <c r="K135" s="1603">
        <f>KH49</f>
        <v>0</v>
      </c>
      <c r="L135" s="1604">
        <f>KI49</f>
        <v>0</v>
      </c>
      <c r="M135" s="1604">
        <f>KJ49</f>
        <v>0</v>
      </c>
      <c r="N135" s="1604">
        <f>KK49</f>
        <v>0</v>
      </c>
      <c r="O135" s="1605">
        <f>KL49</f>
        <v>0</v>
      </c>
      <c r="P135" s="1615">
        <f t="shared" si="363"/>
        <v>0</v>
      </c>
      <c r="S135" s="3488"/>
      <c r="T135" s="3489"/>
      <c r="U135" s="3489"/>
      <c r="V135" s="3489"/>
      <c r="W135" s="3490"/>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6"/>
      <c r="D136" s="3506"/>
      <c r="E136" s="81"/>
      <c r="F136" s="1"/>
      <c r="G136" s="62"/>
      <c r="H136" s="1342" t="s">
        <v>4190</v>
      </c>
      <c r="I136" s="33"/>
      <c r="J136" s="62"/>
      <c r="K136" s="1092">
        <f>KM49</f>
        <v>0</v>
      </c>
      <c r="L136" s="1093">
        <f>KN49</f>
        <v>0</v>
      </c>
      <c r="M136" s="1093">
        <f>KO49</f>
        <v>0</v>
      </c>
      <c r="N136" s="1093">
        <f>KP49</f>
        <v>0</v>
      </c>
      <c r="O136" s="1094">
        <f>KQ49</f>
        <v>0</v>
      </c>
      <c r="P136" s="468">
        <f t="shared" si="363"/>
        <v>0</v>
      </c>
      <c r="S136" s="3488"/>
      <c r="T136" s="3489"/>
      <c r="U136" s="3489"/>
      <c r="V136" s="3489"/>
      <c r="W136" s="3490"/>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6"/>
      <c r="D137" s="3506"/>
      <c r="E137" s="81"/>
      <c r="F137" s="1"/>
      <c r="G137" s="62"/>
      <c r="H137" s="1379" t="s">
        <v>2926</v>
      </c>
      <c r="I137" s="73"/>
      <c r="J137" s="62"/>
      <c r="K137" s="1611">
        <f>KW49</f>
        <v>0</v>
      </c>
      <c r="L137" s="1612">
        <f>KX49</f>
        <v>0</v>
      </c>
      <c r="M137" s="1612">
        <f>KY49</f>
        <v>0</v>
      </c>
      <c r="N137" s="1612">
        <f>KZ49</f>
        <v>0</v>
      </c>
      <c r="O137" s="1613">
        <f>LA49</f>
        <v>0</v>
      </c>
      <c r="P137" s="1614">
        <f t="shared" si="363"/>
        <v>0</v>
      </c>
      <c r="S137" s="3488"/>
      <c r="T137" s="3489"/>
      <c r="U137" s="3489"/>
      <c r="V137" s="3489"/>
      <c r="W137" s="3490"/>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6"/>
      <c r="D138" s="3506"/>
      <c r="E138" s="81"/>
      <c r="F138" s="1"/>
      <c r="G138" s="62"/>
      <c r="H138" s="1342" t="s">
        <v>4382</v>
      </c>
      <c r="I138" s="33"/>
      <c r="J138" s="62"/>
      <c r="K138" s="1092">
        <f>KR49</f>
        <v>0</v>
      </c>
      <c r="L138" s="1093">
        <f>KS49</f>
        <v>0</v>
      </c>
      <c r="M138" s="1093">
        <f>KT49</f>
        <v>0</v>
      </c>
      <c r="N138" s="1093">
        <f>KU49</f>
        <v>0</v>
      </c>
      <c r="O138" s="1094">
        <f>KV49</f>
        <v>0</v>
      </c>
      <c r="P138" s="468">
        <f t="shared" si="363"/>
        <v>0</v>
      </c>
      <c r="S138" s="3488"/>
      <c r="T138" s="3489"/>
      <c r="U138" s="3489"/>
      <c r="V138" s="3489"/>
      <c r="W138" s="3490"/>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6"/>
      <c r="D139" s="3506"/>
      <c r="E139" s="81"/>
      <c r="F139" s="1"/>
      <c r="G139" s="62"/>
      <c r="H139" s="1379" t="s">
        <v>2926</v>
      </c>
      <c r="I139" s="73"/>
      <c r="J139" s="62"/>
      <c r="K139" s="1611">
        <f>LB49</f>
        <v>0</v>
      </c>
      <c r="L139" s="1612">
        <f>LC49</f>
        <v>0</v>
      </c>
      <c r="M139" s="1612">
        <f>LD49</f>
        <v>0</v>
      </c>
      <c r="N139" s="1612">
        <f>LE49</f>
        <v>0</v>
      </c>
      <c r="O139" s="1613">
        <f>LF49</f>
        <v>0</v>
      </c>
      <c r="P139" s="1614">
        <f t="shared" si="363"/>
        <v>0</v>
      </c>
      <c r="S139" s="3488"/>
      <c r="T139" s="3489"/>
      <c r="U139" s="3489"/>
      <c r="V139" s="3489"/>
      <c r="W139" s="3490"/>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4377</v>
      </c>
      <c r="F140" s="1"/>
      <c r="G140" s="62"/>
      <c r="H140" s="1342"/>
      <c r="I140" s="33"/>
      <c r="J140" s="62"/>
      <c r="K140" s="1065">
        <f>IE49</f>
        <v>0</v>
      </c>
      <c r="L140" s="1066">
        <f>IF49</f>
        <v>0</v>
      </c>
      <c r="M140" s="1066">
        <f>IG49</f>
        <v>0</v>
      </c>
      <c r="N140" s="1066">
        <f>IH49</f>
        <v>0</v>
      </c>
      <c r="O140" s="1067">
        <f>II49</f>
        <v>0</v>
      </c>
      <c r="P140" s="1599">
        <f t="shared" si="363"/>
        <v>0</v>
      </c>
      <c r="S140" s="3488"/>
      <c r="T140" s="3489"/>
      <c r="U140" s="3489"/>
      <c r="V140" s="3489"/>
      <c r="W140" s="3490"/>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2926</v>
      </c>
      <c r="I141" s="73"/>
      <c r="J141" s="62"/>
      <c r="K141" s="1603">
        <f>IJ49</f>
        <v>0</v>
      </c>
      <c r="L141" s="1604">
        <f>IK49</f>
        <v>0</v>
      </c>
      <c r="M141" s="1604">
        <f>IL49</f>
        <v>0</v>
      </c>
      <c r="N141" s="1604">
        <f>IM49</f>
        <v>0</v>
      </c>
      <c r="O141" s="1605">
        <f>IN49</f>
        <v>0</v>
      </c>
      <c r="P141" s="1606">
        <f t="shared" si="363"/>
        <v>0</v>
      </c>
      <c r="S141" s="3488"/>
      <c r="T141" s="3489"/>
      <c r="U141" s="3489"/>
      <c r="V141" s="3489"/>
      <c r="W141" s="3490"/>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4378</v>
      </c>
      <c r="F142" s="1"/>
      <c r="G142" s="62"/>
      <c r="H142" s="1342"/>
      <c r="I142" s="33"/>
      <c r="J142" s="62"/>
      <c r="K142" s="1092">
        <f>JI49</f>
        <v>0</v>
      </c>
      <c r="L142" s="1093">
        <f>JJ49</f>
        <v>0</v>
      </c>
      <c r="M142" s="1093">
        <f>JK49</f>
        <v>0</v>
      </c>
      <c r="N142" s="1093">
        <f>JL49</f>
        <v>0</v>
      </c>
      <c r="O142" s="1094">
        <f>JM49</f>
        <v>0</v>
      </c>
      <c r="P142" s="1600">
        <f t="shared" si="363"/>
        <v>0</v>
      </c>
      <c r="S142" s="3488"/>
      <c r="T142" s="3489"/>
      <c r="U142" s="3489"/>
      <c r="V142" s="3489"/>
      <c r="W142" s="3490"/>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2926</v>
      </c>
      <c r="I143" s="73"/>
      <c r="J143" s="62"/>
      <c r="K143" s="1603">
        <f>JN49</f>
        <v>0</v>
      </c>
      <c r="L143" s="1604">
        <f>JO49</f>
        <v>0</v>
      </c>
      <c r="M143" s="1604">
        <f>JP49</f>
        <v>0</v>
      </c>
      <c r="N143" s="1604">
        <f>JQ49</f>
        <v>0</v>
      </c>
      <c r="O143" s="1605">
        <f>JR49</f>
        <v>0</v>
      </c>
      <c r="P143" s="1606">
        <f t="shared" si="363"/>
        <v>0</v>
      </c>
      <c r="S143" s="3488"/>
      <c r="T143" s="3489"/>
      <c r="U143" s="3489"/>
      <c r="V143" s="3489"/>
      <c r="W143" s="3490"/>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4184</v>
      </c>
      <c r="F144" s="1"/>
      <c r="G144" s="62"/>
      <c r="H144" s="1342"/>
      <c r="I144" s="33"/>
      <c r="J144" s="62"/>
      <c r="K144" s="1092">
        <f>IY49</f>
        <v>0</v>
      </c>
      <c r="L144" s="1093">
        <f>IZ49</f>
        <v>0</v>
      </c>
      <c r="M144" s="1093">
        <f>JA49</f>
        <v>0</v>
      </c>
      <c r="N144" s="1093">
        <f>JB49</f>
        <v>0</v>
      </c>
      <c r="O144" s="1094">
        <f>JC49</f>
        <v>0</v>
      </c>
      <c r="P144" s="1600">
        <f t="shared" si="363"/>
        <v>0</v>
      </c>
      <c r="S144" s="3488"/>
      <c r="T144" s="3489"/>
      <c r="U144" s="3489"/>
      <c r="V144" s="3489"/>
      <c r="W144" s="3490"/>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2926</v>
      </c>
      <c r="I145" s="73"/>
      <c r="J145" s="62"/>
      <c r="K145" s="1611">
        <f>JD49</f>
        <v>0</v>
      </c>
      <c r="L145" s="1612">
        <f>JE49</f>
        <v>0</v>
      </c>
      <c r="M145" s="1612">
        <f>JF49</f>
        <v>0</v>
      </c>
      <c r="N145" s="1612">
        <f>JG49</f>
        <v>0</v>
      </c>
      <c r="O145" s="1613">
        <f>JH49</f>
        <v>0</v>
      </c>
      <c r="P145" s="1606">
        <f t="shared" si="363"/>
        <v>0</v>
      </c>
      <c r="S145" s="3488"/>
      <c r="T145" s="3489"/>
      <c r="U145" s="3489"/>
      <c r="V145" s="3489"/>
      <c r="W145" s="3490"/>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8"/>
      <c r="T146" s="3489"/>
      <c r="U146" s="3489"/>
      <c r="V146" s="3489"/>
      <c r="W146" s="3490"/>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2926</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3750</v>
      </c>
      <c r="H149" s="68"/>
      <c r="L149" s="3501" t="str">
        <f>$O$53</f>
        <v>Income Averaging</v>
      </c>
      <c r="M149" s="3502"/>
      <c r="N149" s="3502"/>
      <c r="O149" s="3503"/>
      <c r="P149" s="62"/>
      <c r="S149" s="3504" t="str">
        <f>B149</f>
        <v>UNIT SUMMARY (Continued)</v>
      </c>
      <c r="T149" s="3504"/>
      <c r="U149" s="3504"/>
      <c r="V149" s="3504"/>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5" t="s">
        <v>4389</v>
      </c>
      <c r="D151" s="3505"/>
      <c r="E151" s="895" t="s">
        <v>2921</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8"/>
      <c r="T151" s="3509"/>
      <c r="U151" s="3509"/>
      <c r="V151" s="3509"/>
      <c r="W151" s="3510"/>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6"/>
      <c r="D152" s="3506"/>
      <c r="E152" s="81"/>
      <c r="F152" s="147"/>
      <c r="G152" s="62"/>
      <c r="H152" s="1379" t="s">
        <v>2926</v>
      </c>
      <c r="I152" s="73"/>
      <c r="J152" s="899"/>
      <c r="K152" s="1603">
        <f t="shared" si="364"/>
        <v>0</v>
      </c>
      <c r="L152" s="1604">
        <f t="shared" si="364"/>
        <v>0</v>
      </c>
      <c r="M152" s="1604">
        <f t="shared" si="364"/>
        <v>0</v>
      </c>
      <c r="N152" s="1604">
        <f t="shared" si="364"/>
        <v>0</v>
      </c>
      <c r="O152" s="1605">
        <f t="shared" si="364"/>
        <v>0</v>
      </c>
      <c r="P152" s="1606">
        <f t="shared" si="365"/>
        <v>0</v>
      </c>
      <c r="S152" s="3488"/>
      <c r="T152" s="3489"/>
      <c r="U152" s="3489"/>
      <c r="V152" s="3489"/>
      <c r="W152" s="3490"/>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6"/>
      <c r="D153" s="3506"/>
      <c r="E153" s="81" t="s">
        <v>2922</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8"/>
      <c r="T153" s="3489"/>
      <c r="U153" s="3489"/>
      <c r="V153" s="3489"/>
      <c r="W153" s="3490"/>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6"/>
      <c r="D154" s="3506"/>
      <c r="E154" s="81"/>
      <c r="F154" s="147"/>
      <c r="G154" s="62"/>
      <c r="H154" s="1379" t="s">
        <v>2926</v>
      </c>
      <c r="I154" s="73"/>
      <c r="J154" s="899"/>
      <c r="K154" s="1603">
        <f t="shared" si="366"/>
        <v>0</v>
      </c>
      <c r="L154" s="1604">
        <f t="shared" si="366"/>
        <v>0</v>
      </c>
      <c r="M154" s="1604">
        <f t="shared" si="366"/>
        <v>0</v>
      </c>
      <c r="N154" s="1604">
        <f t="shared" si="366"/>
        <v>0</v>
      </c>
      <c r="O154" s="1605">
        <f t="shared" si="366"/>
        <v>0</v>
      </c>
      <c r="P154" s="1606">
        <f t="shared" si="365"/>
        <v>0</v>
      </c>
      <c r="S154" s="3488"/>
      <c r="T154" s="3489"/>
      <c r="U154" s="3489"/>
      <c r="V154" s="3489"/>
      <c r="W154" s="3490"/>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6"/>
      <c r="D155" s="3506"/>
      <c r="E155" s="81" t="s">
        <v>2923</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88"/>
      <c r="T155" s="3489"/>
      <c r="U155" s="3489"/>
      <c r="V155" s="3489"/>
      <c r="W155" s="3490"/>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6"/>
      <c r="D156" s="3506"/>
      <c r="E156" s="81"/>
      <c r="F156" s="147"/>
      <c r="G156" s="62"/>
      <c r="H156" s="1379" t="s">
        <v>2926</v>
      </c>
      <c r="I156" s="73"/>
      <c r="J156" s="899"/>
      <c r="K156" s="1603">
        <f t="shared" si="367"/>
        <v>0</v>
      </c>
      <c r="L156" s="1604">
        <f t="shared" si="367"/>
        <v>0</v>
      </c>
      <c r="M156" s="1604">
        <f t="shared" si="367"/>
        <v>0</v>
      </c>
      <c r="N156" s="1604">
        <f t="shared" si="367"/>
        <v>0</v>
      </c>
      <c r="O156" s="1605">
        <f t="shared" si="367"/>
        <v>0</v>
      </c>
      <c r="P156" s="1606">
        <f t="shared" si="365"/>
        <v>0</v>
      </c>
      <c r="S156" s="3488"/>
      <c r="T156" s="3489"/>
      <c r="U156" s="3489"/>
      <c r="V156" s="3489"/>
      <c r="W156" s="3490"/>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6"/>
      <c r="D157" s="3506"/>
      <c r="E157" s="81" t="s">
        <v>2924</v>
      </c>
      <c r="F157" s="147"/>
      <c r="G157" s="62"/>
      <c r="H157" s="1342"/>
      <c r="I157" s="33"/>
      <c r="J157" s="899"/>
      <c r="K157" s="1101">
        <f t="shared" si="367"/>
        <v>0</v>
      </c>
      <c r="L157" s="1102">
        <f t="shared" si="367"/>
        <v>37</v>
      </c>
      <c r="M157" s="1102">
        <f t="shared" si="367"/>
        <v>8</v>
      </c>
      <c r="N157" s="1102">
        <f t="shared" si="367"/>
        <v>5</v>
      </c>
      <c r="O157" s="1103">
        <f t="shared" si="367"/>
        <v>0</v>
      </c>
      <c r="P157" s="1600">
        <f t="shared" si="365"/>
        <v>50</v>
      </c>
      <c r="S157" s="3488"/>
      <c r="T157" s="3489"/>
      <c r="U157" s="3489"/>
      <c r="V157" s="3489"/>
      <c r="W157" s="3490"/>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2926</v>
      </c>
      <c r="I158" s="73"/>
      <c r="J158" s="62"/>
      <c r="K158" s="1607">
        <f t="shared" si="367"/>
        <v>0</v>
      </c>
      <c r="L158" s="1608">
        <f t="shared" si="367"/>
        <v>0</v>
      </c>
      <c r="M158" s="1608">
        <f t="shared" si="367"/>
        <v>0</v>
      </c>
      <c r="N158" s="1608">
        <f t="shared" si="367"/>
        <v>0</v>
      </c>
      <c r="O158" s="1609">
        <f t="shared" si="367"/>
        <v>0</v>
      </c>
      <c r="P158" s="1610">
        <f t="shared" si="365"/>
        <v>0</v>
      </c>
      <c r="Q158" s="3507" t="s">
        <v>3766</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7"/>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4391</v>
      </c>
      <c r="C160" s="1"/>
      <c r="D160" s="1"/>
      <c r="E160" s="1"/>
      <c r="F160" s="1"/>
      <c r="G160" s="62"/>
      <c r="H160" s="33"/>
      <c r="I160" s="33"/>
      <c r="J160" s="62"/>
      <c r="K160" s="471"/>
      <c r="L160" s="471"/>
      <c r="M160" s="471"/>
      <c r="N160" s="471"/>
      <c r="O160" s="471"/>
      <c r="P160" s="471"/>
      <c r="Q160" s="3507"/>
      <c r="S160" s="3174" t="str">
        <f>B160</f>
        <v>UNIT SQUARE FOOTAGE</v>
      </c>
      <c r="T160" s="3174"/>
      <c r="U160" s="3174"/>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3557</v>
      </c>
      <c r="I161" s="44"/>
      <c r="J161" s="62"/>
      <c r="K161" s="1074">
        <f>EI49</f>
        <v>0</v>
      </c>
      <c r="L161" s="1075">
        <f>EJ49</f>
        <v>4055</v>
      </c>
      <c r="M161" s="1075">
        <f>EK49</f>
        <v>915</v>
      </c>
      <c r="N161" s="1075">
        <f>EL49</f>
        <v>1179</v>
      </c>
      <c r="O161" s="1076">
        <f>EM49</f>
        <v>0</v>
      </c>
      <c r="P161" s="1028">
        <f t="shared" ref="P161:P167" si="368">SUM(K161:O161)</f>
        <v>6149</v>
      </c>
      <c r="Q161" s="1228">
        <f t="shared" ref="Q161:Q167" si="369">IF(OR(P56=0,P56=""),"",P161/P56)</f>
        <v>878.42857142857144</v>
      </c>
      <c r="S161" s="3508"/>
      <c r="T161" s="3509"/>
      <c r="U161" s="3509"/>
      <c r="V161" s="3509"/>
      <c r="W161" s="3510"/>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3558</v>
      </c>
      <c r="I162" s="33"/>
      <c r="J162" s="62"/>
      <c r="K162" s="1104">
        <f>EN49</f>
        <v>0</v>
      </c>
      <c r="L162" s="1105">
        <f>EO49</f>
        <v>0</v>
      </c>
      <c r="M162" s="1105">
        <f>EP49</f>
        <v>0</v>
      </c>
      <c r="N162" s="1105">
        <f>EQ49</f>
        <v>0</v>
      </c>
      <c r="O162" s="1106">
        <f>ER49</f>
        <v>0</v>
      </c>
      <c r="P162" s="1029">
        <f t="shared" si="368"/>
        <v>0</v>
      </c>
      <c r="Q162" s="1228" t="str">
        <f t="shared" si="369"/>
        <v/>
      </c>
      <c r="S162" s="3488"/>
      <c r="T162" s="3489"/>
      <c r="U162" s="3489"/>
      <c r="V162" s="3489"/>
      <c r="W162" s="3490"/>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11354</v>
      </c>
      <c r="M163" s="1105">
        <f>EU49</f>
        <v>2745</v>
      </c>
      <c r="N163" s="1105">
        <f>EV49</f>
        <v>1179</v>
      </c>
      <c r="O163" s="1106">
        <f>EW49</f>
        <v>0</v>
      </c>
      <c r="P163" s="1029">
        <f t="shared" si="368"/>
        <v>15278</v>
      </c>
      <c r="Q163" s="1228">
        <f t="shared" si="369"/>
        <v>848.77777777777783</v>
      </c>
      <c r="S163" s="3488"/>
      <c r="T163" s="3489"/>
      <c r="U163" s="3489"/>
      <c r="V163" s="3489"/>
      <c r="W163" s="3490"/>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14598</v>
      </c>
      <c r="M164" s="1165">
        <f>EZ49</f>
        <v>3660</v>
      </c>
      <c r="N164" s="1165">
        <f>FA49</f>
        <v>3537</v>
      </c>
      <c r="O164" s="1166">
        <f>FB49</f>
        <v>0</v>
      </c>
      <c r="P164" s="1167">
        <f t="shared" si="368"/>
        <v>21795</v>
      </c>
      <c r="Q164" s="1228">
        <f t="shared" si="369"/>
        <v>871.8</v>
      </c>
      <c r="S164" s="3488"/>
      <c r="T164" s="3489"/>
      <c r="U164" s="3489"/>
      <c r="V164" s="3489"/>
      <c r="W164" s="3490"/>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3559</v>
      </c>
      <c r="I165" s="33"/>
      <c r="J165" s="899"/>
      <c r="K165" s="1104">
        <f>FC49</f>
        <v>0</v>
      </c>
      <c r="L165" s="1105">
        <f>FD49</f>
        <v>0</v>
      </c>
      <c r="M165" s="1105">
        <f>FE49</f>
        <v>0</v>
      </c>
      <c r="N165" s="1105">
        <f>FF49</f>
        <v>0</v>
      </c>
      <c r="O165" s="1106">
        <f>FG49</f>
        <v>0</v>
      </c>
      <c r="P165" s="1029">
        <f t="shared" si="368"/>
        <v>0</v>
      </c>
      <c r="Q165" s="1228" t="str">
        <f t="shared" si="369"/>
        <v/>
      </c>
      <c r="S165" s="3488"/>
      <c r="T165" s="3489"/>
      <c r="U165" s="3489"/>
      <c r="V165" s="3489"/>
      <c r="W165" s="3490"/>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3560</v>
      </c>
      <c r="I166" s="33"/>
      <c r="J166" s="62"/>
      <c r="K166" s="1104">
        <f>FH49</f>
        <v>0</v>
      </c>
      <c r="L166" s="1105">
        <f>FI49</f>
        <v>0</v>
      </c>
      <c r="M166" s="1105">
        <f>FJ49</f>
        <v>0</v>
      </c>
      <c r="N166" s="1105">
        <f>FK49</f>
        <v>0</v>
      </c>
      <c r="O166" s="1106">
        <f>FL49</f>
        <v>0</v>
      </c>
      <c r="P166" s="1029">
        <f t="shared" si="368"/>
        <v>0</v>
      </c>
      <c r="Q166" s="1228" t="str">
        <f t="shared" si="369"/>
        <v/>
      </c>
      <c r="S166" s="3488"/>
      <c r="T166" s="3489"/>
      <c r="U166" s="3489"/>
      <c r="V166" s="3489"/>
      <c r="W166" s="3490"/>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3561</v>
      </c>
      <c r="I167" s="44"/>
      <c r="J167" s="62"/>
      <c r="K167" s="1080">
        <f>FM49</f>
        <v>0</v>
      </c>
      <c r="L167" s="1081">
        <f>FN49</f>
        <v>0</v>
      </c>
      <c r="M167" s="1081">
        <f>FO49</f>
        <v>0</v>
      </c>
      <c r="N167" s="1081">
        <f>FP49</f>
        <v>0</v>
      </c>
      <c r="O167" s="1082">
        <f>FQ49</f>
        <v>0</v>
      </c>
      <c r="P167" s="1030">
        <f t="shared" si="368"/>
        <v>0</v>
      </c>
      <c r="Q167" s="1228" t="str">
        <f t="shared" si="369"/>
        <v/>
      </c>
      <c r="S167" s="3488"/>
      <c r="T167" s="3489"/>
      <c r="U167" s="3489"/>
      <c r="V167" s="3489"/>
      <c r="W167" s="3490"/>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3642</v>
      </c>
      <c r="I168" s="73"/>
      <c r="J168" s="1039"/>
      <c r="K168" s="1602">
        <f>SUM(K161:K167)</f>
        <v>0</v>
      </c>
      <c r="L168" s="1602">
        <f>SUM(L161:L167)</f>
        <v>30007</v>
      </c>
      <c r="M168" s="1602">
        <f>SUM(M161:M167)</f>
        <v>7320</v>
      </c>
      <c r="N168" s="1602">
        <f>SUM(N161:N167)</f>
        <v>5895</v>
      </c>
      <c r="O168" s="1602">
        <f>SUM(O161:O167)</f>
        <v>0</v>
      </c>
      <c r="P168" s="1602">
        <f>SUM(K168:O168)</f>
        <v>43222</v>
      </c>
      <c r="S168" s="3488"/>
      <c r="T168" s="3489"/>
      <c r="U168" s="3489"/>
      <c r="V168" s="3489"/>
      <c r="W168" s="3490"/>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8"/>
      <c r="T169" s="3489"/>
      <c r="U169" s="3489"/>
      <c r="V169" s="3489"/>
      <c r="W169" s="3490"/>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30007</v>
      </c>
      <c r="M170" s="1601">
        <f>SUM(M168:M169)</f>
        <v>7320</v>
      </c>
      <c r="N170" s="1601">
        <f>SUM(N168:N169)</f>
        <v>5895</v>
      </c>
      <c r="O170" s="1601">
        <f>SUM(O168:O169)</f>
        <v>0</v>
      </c>
      <c r="P170" s="1601">
        <f>SUM(K170:O170)</f>
        <v>43222</v>
      </c>
      <c r="S170" s="3488"/>
      <c r="T170" s="3489"/>
      <c r="U170" s="3489"/>
      <c r="V170" s="3489"/>
      <c r="W170" s="3490"/>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8"/>
      <c r="T171" s="3489"/>
      <c r="U171" s="3489"/>
      <c r="V171" s="3489"/>
      <c r="W171" s="3490"/>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30007</v>
      </c>
      <c r="M172" s="1035">
        <f>SUM(M170:M171)</f>
        <v>7320</v>
      </c>
      <c r="N172" s="1035">
        <f>SUM(N170:N171)</f>
        <v>5895</v>
      </c>
      <c r="O172" s="1035">
        <f>SUM(O170:O171)</f>
        <v>0</v>
      </c>
      <c r="P172" s="1035">
        <f>SUM(K172:O172)</f>
        <v>43222</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3763</v>
      </c>
      <c r="D175" s="1"/>
      <c r="E175" s="1"/>
      <c r="F175" s="1"/>
      <c r="G175" s="1"/>
      <c r="H175" s="1"/>
      <c r="I175" s="1"/>
      <c r="J175" s="1"/>
      <c r="K175" s="1227" t="str">
        <f>IF(OR(K67="",K67=0),"",K172/K67)</f>
        <v/>
      </c>
      <c r="L175" s="1227">
        <f>IF(OR(L67="",L67=0),"",L172/L67)</f>
        <v>811</v>
      </c>
      <c r="M175" s="1227">
        <f>IF(OR(M67="",M67=0),"",M172/M67)</f>
        <v>915</v>
      </c>
      <c r="N175" s="1227">
        <f>IF(OR(N67="",N67=0),"",N172/N67)</f>
        <v>1179</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4541</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4537</v>
      </c>
      <c r="K178" s="3551">
        <v>11578</v>
      </c>
      <c r="L178" s="3552"/>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3">
        <f>P172+K178</f>
        <v>54800</v>
      </c>
      <c r="L179" s="3554"/>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7">
        <v>7000</v>
      </c>
      <c r="I183" s="3497"/>
      <c r="J183" s="1342" t="s">
        <v>4645</v>
      </c>
      <c r="M183" s="81"/>
      <c r="N183" s="81"/>
      <c r="O183" s="81"/>
      <c r="P183" s="1383">
        <f>IF(M50=0,0,H183/M50)</f>
        <v>1.183351928863644E-2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8"/>
      <c r="T187" s="3509"/>
      <c r="U187" s="3509"/>
      <c r="V187" s="3509"/>
      <c r="W187" s="3510"/>
      <c r="NQ187" s="2480">
        <v>187</v>
      </c>
    </row>
    <row r="188" spans="1:493" ht="15.6" customHeight="1">
      <c r="B188" s="81" t="s">
        <v>689</v>
      </c>
      <c r="C188" s="3498"/>
      <c r="D188" s="3499"/>
      <c r="E188" s="3499"/>
      <c r="F188" s="3500"/>
      <c r="H188" s="694"/>
      <c r="I188" s="694"/>
      <c r="J188" s="694"/>
      <c r="K188" s="694"/>
      <c r="L188" s="695"/>
      <c r="M188" s="694"/>
      <c r="N188" s="694"/>
      <c r="O188" s="694"/>
      <c r="P188" s="694"/>
      <c r="Q188" s="694"/>
      <c r="R188" s="662"/>
      <c r="S188" s="3488"/>
      <c r="T188" s="3489"/>
      <c r="U188" s="3489"/>
      <c r="V188" s="3489"/>
      <c r="W188" s="3490"/>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3103</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8"/>
      <c r="T191" s="3509"/>
      <c r="U191" s="3509"/>
      <c r="V191" s="3509"/>
      <c r="W191" s="3510"/>
      <c r="NQ191" s="2482">
        <v>191</v>
      </c>
    </row>
    <row r="192" spans="1:493" ht="15.6" customHeight="1">
      <c r="B192" s="81" t="s">
        <v>689</v>
      </c>
      <c r="C192" s="3498"/>
      <c r="D192" s="3499"/>
      <c r="E192" s="3499"/>
      <c r="F192" s="3500"/>
      <c r="H192" s="694"/>
      <c r="I192" s="694"/>
      <c r="J192" s="694"/>
      <c r="K192" s="694"/>
      <c r="L192" s="695"/>
      <c r="M192" s="694"/>
      <c r="N192" s="694"/>
      <c r="O192" s="694"/>
      <c r="P192" s="694"/>
      <c r="Q192" s="694"/>
      <c r="R192" s="662"/>
      <c r="S192" s="3488"/>
      <c r="T192" s="3489"/>
      <c r="U192" s="3489"/>
      <c r="V192" s="3489"/>
      <c r="W192" s="3490"/>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8"/>
      <c r="T196" s="3509"/>
      <c r="U196" s="3509"/>
      <c r="V196" s="3509"/>
      <c r="W196" s="3510"/>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8"/>
      <c r="D197" s="3499"/>
      <c r="E197" s="3499"/>
      <c r="F197" s="3500"/>
      <c r="H197" s="694"/>
      <c r="I197" s="694"/>
      <c r="J197" s="694"/>
      <c r="K197" s="694"/>
      <c r="L197" s="695"/>
      <c r="M197" s="694"/>
      <c r="N197" s="694"/>
      <c r="O197" s="694"/>
      <c r="P197" s="694"/>
      <c r="Q197" s="694"/>
      <c r="R197" s="662"/>
      <c r="S197" s="3488"/>
      <c r="T197" s="3489"/>
      <c r="U197" s="3489"/>
      <c r="V197" s="3489"/>
      <c r="W197" s="3490"/>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3103</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8"/>
      <c r="T200" s="3509"/>
      <c r="U200" s="3509"/>
      <c r="V200" s="3509"/>
      <c r="W200" s="3510"/>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8"/>
      <c r="D201" s="3499"/>
      <c r="E201" s="3499"/>
      <c r="F201" s="3500"/>
      <c r="H201" s="694"/>
      <c r="I201" s="694"/>
      <c r="J201" s="694"/>
      <c r="K201" s="694"/>
      <c r="L201" s="695"/>
      <c r="M201" s="694"/>
      <c r="N201" s="694"/>
      <c r="O201" s="694"/>
      <c r="P201" s="694"/>
      <c r="Q201" s="694"/>
      <c r="R201" s="662"/>
      <c r="S201" s="3488"/>
      <c r="T201" s="3489"/>
      <c r="U201" s="3489"/>
      <c r="V201" s="3489"/>
      <c r="W201" s="3490"/>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8"/>
      <c r="T205" s="3509"/>
      <c r="U205" s="3509"/>
      <c r="V205" s="3509"/>
      <c r="W205" s="3510"/>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8"/>
      <c r="D206" s="3499"/>
      <c r="E206" s="3499"/>
      <c r="F206" s="3500"/>
      <c r="H206" s="694"/>
      <c r="I206" s="694"/>
      <c r="J206" s="694"/>
      <c r="K206" s="694"/>
      <c r="L206" s="695"/>
      <c r="M206" s="694"/>
      <c r="N206" s="694"/>
      <c r="O206" s="694"/>
      <c r="P206" s="694"/>
      <c r="Q206" s="694"/>
      <c r="R206" s="662"/>
      <c r="S206" s="3488"/>
      <c r="T206" s="3489"/>
      <c r="U206" s="3489"/>
      <c r="V206" s="3489"/>
      <c r="W206" s="3490"/>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3103</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8"/>
      <c r="T209" s="3509"/>
      <c r="U209" s="3509"/>
      <c r="V209" s="3509"/>
      <c r="W209" s="3510"/>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8"/>
      <c r="D210" s="3499"/>
      <c r="E210" s="3499"/>
      <c r="F210" s="3500"/>
      <c r="H210" s="694"/>
      <c r="I210" s="694"/>
      <c r="J210" s="694"/>
      <c r="K210" s="694"/>
      <c r="L210" s="695"/>
      <c r="M210" s="694"/>
      <c r="N210" s="694"/>
      <c r="O210" s="694"/>
      <c r="P210" s="694"/>
      <c r="Q210" s="694"/>
      <c r="R210" s="662"/>
      <c r="S210" s="3488"/>
      <c r="T210" s="3489"/>
      <c r="U210" s="3489"/>
      <c r="V210" s="3489"/>
      <c r="W210" s="3490"/>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8"/>
      <c r="T214" s="3509"/>
      <c r="U214" s="3509"/>
      <c r="V214" s="3509"/>
      <c r="W214" s="3510"/>
      <c r="NQ214" s="2482">
        <v>214</v>
      </c>
    </row>
    <row r="215" spans="1:493" ht="15.6" customHeight="1">
      <c r="B215" s="81" t="s">
        <v>689</v>
      </c>
      <c r="C215" s="3498"/>
      <c r="D215" s="3499"/>
      <c r="E215" s="3499"/>
      <c r="F215" s="3500"/>
      <c r="H215" s="694"/>
      <c r="I215" s="694"/>
      <c r="J215" s="694"/>
      <c r="K215" s="694"/>
      <c r="L215" s="695"/>
      <c r="M215" s="68"/>
      <c r="N215" s="68"/>
      <c r="O215" s="68"/>
      <c r="P215" s="68"/>
      <c r="Q215" s="68"/>
      <c r="R215" s="6"/>
      <c r="S215" s="3488"/>
      <c r="T215" s="3489"/>
      <c r="U215" s="3489"/>
      <c r="V215" s="3489"/>
      <c r="W215" s="3490"/>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3103</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8"/>
      <c r="T218" s="3509"/>
      <c r="U218" s="3509"/>
      <c r="V218" s="3509"/>
      <c r="W218" s="3510"/>
      <c r="NQ218" s="2483">
        <v>218</v>
      </c>
    </row>
    <row r="219" spans="1:493" ht="15.6" customHeight="1">
      <c r="B219" s="81" t="s">
        <v>689</v>
      </c>
      <c r="C219" s="3498"/>
      <c r="D219" s="3499"/>
      <c r="E219" s="3499"/>
      <c r="F219" s="3500"/>
      <c r="H219" s="694"/>
      <c r="I219" s="694"/>
      <c r="J219" s="694"/>
      <c r="K219" s="694"/>
      <c r="L219" s="695"/>
      <c r="M219" s="68"/>
      <c r="N219" s="68"/>
      <c r="O219" s="68"/>
      <c r="P219" s="68"/>
      <c r="Q219" s="68"/>
      <c r="R219" s="6"/>
      <c r="S219" s="3488"/>
      <c r="T219" s="3489"/>
      <c r="U219" s="3489"/>
      <c r="V219" s="3489"/>
      <c r="W219" s="3490"/>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33399</v>
      </c>
      <c r="R224" s="1"/>
      <c r="S224" s="3508"/>
      <c r="T224" s="3509"/>
      <c r="U224" s="3509"/>
      <c r="V224" s="3509"/>
      <c r="W224" s="3510"/>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9">
        <v>48000</v>
      </c>
      <c r="G225" s="3550"/>
      <c r="H225" s="1"/>
      <c r="I225" s="1" t="s">
        <v>1298</v>
      </c>
      <c r="K225" s="1"/>
      <c r="L225" s="3549"/>
      <c r="M225" s="3550"/>
      <c r="N225" s="1"/>
      <c r="O225" s="318">
        <f>+Q224/(P67*0.93)</f>
        <v>718.25806451612902</v>
      </c>
      <c r="P225" s="42" t="s">
        <v>2478</v>
      </c>
      <c r="Q225" s="1"/>
      <c r="R225" s="662"/>
      <c r="S225" s="3488"/>
      <c r="T225" s="3489"/>
      <c r="U225" s="3489"/>
      <c r="V225" s="3489"/>
      <c r="W225" s="3490"/>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4">
        <v>48000</v>
      </c>
      <c r="G226" s="3485"/>
      <c r="H226" s="1"/>
      <c r="I226" s="1" t="s">
        <v>1299</v>
      </c>
      <c r="K226" s="1"/>
      <c r="L226" s="3495">
        <v>5000</v>
      </c>
      <c r="M226" s="3496"/>
      <c r="N226" s="1"/>
      <c r="O226" s="318">
        <f>+Q224/(P67*0.93)/12</f>
        <v>59.854838709677416</v>
      </c>
      <c r="P226" s="42" t="s">
        <v>2479</v>
      </c>
      <c r="Q226" s="1"/>
      <c r="R226" s="662"/>
      <c r="S226" s="3488"/>
      <c r="T226" s="3489"/>
      <c r="U226" s="3489"/>
      <c r="V226" s="3489"/>
      <c r="W226" s="3490"/>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4"/>
      <c r="G227" s="3485"/>
      <c r="H227" s="1"/>
      <c r="I227" s="1"/>
      <c r="K227" s="8" t="s">
        <v>184</v>
      </c>
      <c r="L227" s="3475">
        <f>SUM(L225:M226)</f>
        <v>5000</v>
      </c>
      <c r="M227" s="3476"/>
      <c r="N227" s="1"/>
      <c r="O227" s="29" t="s">
        <v>3139</v>
      </c>
      <c r="P227" s="103"/>
      <c r="Q227" s="103"/>
      <c r="R227" s="662"/>
      <c r="S227" s="3488"/>
      <c r="T227" s="3489"/>
      <c r="U227" s="3489"/>
      <c r="V227" s="3489"/>
      <c r="W227" s="3490"/>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4526</v>
      </c>
      <c r="F228" s="3484"/>
      <c r="G228" s="3485"/>
      <c r="H228" s="1"/>
      <c r="I228" s="1"/>
      <c r="K228" s="1"/>
      <c r="L228" s="1"/>
      <c r="M228" s="1"/>
      <c r="N228" s="1"/>
      <c r="R228" s="659"/>
      <c r="S228" s="3488"/>
      <c r="T228" s="3489"/>
      <c r="U228" s="3489"/>
      <c r="V228" s="3489"/>
      <c r="W228" s="3490"/>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3890</v>
      </c>
      <c r="F229" s="3484"/>
      <c r="G229" s="3485"/>
      <c r="H229" s="1"/>
      <c r="I229" s="1"/>
      <c r="K229" s="1"/>
      <c r="L229" s="1"/>
      <c r="M229" s="1"/>
      <c r="N229" s="1"/>
      <c r="R229" s="659"/>
      <c r="S229" s="3488"/>
      <c r="T229" s="3489"/>
      <c r="U229" s="3489"/>
      <c r="V229" s="3489"/>
      <c r="W229" s="3490"/>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5" t="s">
        <v>46</v>
      </c>
      <c r="C230" s="3456"/>
      <c r="D230" s="3456"/>
      <c r="E230" s="3457"/>
      <c r="F230" s="3495"/>
      <c r="G230" s="3496"/>
      <c r="H230" s="1"/>
      <c r="I230" s="4" t="s">
        <v>1213</v>
      </c>
      <c r="K230" s="1"/>
      <c r="L230" s="1"/>
      <c r="M230" s="1"/>
      <c r="N230" s="1"/>
      <c r="R230" s="659"/>
      <c r="S230" s="3488"/>
      <c r="T230" s="3489"/>
      <c r="U230" s="3489"/>
      <c r="V230" s="3489"/>
      <c r="W230" s="3490"/>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5">
        <f>SUM(F225:G230)</f>
        <v>96000</v>
      </c>
      <c r="G231" s="3476"/>
      <c r="H231" s="1"/>
      <c r="I231" s="1" t="s">
        <v>1495</v>
      </c>
      <c r="K231" s="1"/>
      <c r="L231" s="3486">
        <v>2000</v>
      </c>
      <c r="M231" s="3487"/>
      <c r="N231" s="1"/>
      <c r="R231" s="1"/>
      <c r="S231" s="3488"/>
      <c r="T231" s="3489"/>
      <c r="U231" s="3489"/>
      <c r="V231" s="3489"/>
      <c r="W231" s="3490"/>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2">
        <v>6000</v>
      </c>
      <c r="M232" s="3483"/>
      <c r="N232" s="3473" t="str">
        <f>IF(Q234="","",IF(Q232&lt;Q234, "WARNING! OE may be below required minimum.",""))</f>
        <v/>
      </c>
      <c r="O232" s="4" t="s">
        <v>2024</v>
      </c>
      <c r="P232" s="1"/>
      <c r="Q232" s="325">
        <f>F231+F240+F251+L227+L235+L245+L251+Q224</f>
        <v>308147</v>
      </c>
      <c r="R232" s="1"/>
      <c r="S232" s="3488"/>
      <c r="T232" s="3489"/>
      <c r="U232" s="3489"/>
      <c r="V232" s="3489"/>
      <c r="W232" s="3490"/>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2">
        <v>1500</v>
      </c>
      <c r="M233" s="3483"/>
      <c r="N233" s="3473"/>
      <c r="O233" s="42" t="s">
        <v>2480</v>
      </c>
      <c r="P233" s="318">
        <f>+Q232/P67</f>
        <v>6162.94</v>
      </c>
      <c r="R233" s="660"/>
      <c r="S233" s="3488"/>
      <c r="T233" s="3489"/>
      <c r="U233" s="3489"/>
      <c r="V233" s="3489"/>
      <c r="W233" s="3490"/>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4342</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9">
        <v>10000</v>
      </c>
      <c r="G234" s="3550"/>
      <c r="H234" s="1"/>
      <c r="I234" s="3458" t="s">
        <v>5195</v>
      </c>
      <c r="J234" s="3459"/>
      <c r="K234" s="3460"/>
      <c r="L234" s="3493">
        <v>2500</v>
      </c>
      <c r="M234" s="3494"/>
      <c r="N234" s="3473"/>
      <c r="P234" s="745" t="s">
        <v>3140</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225000</v>
      </c>
      <c r="R234" s="1"/>
      <c r="S234" s="3488"/>
      <c r="T234" s="3489"/>
      <c r="U234" s="3489"/>
      <c r="V234" s="3489"/>
      <c r="W234" s="3490"/>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4">
        <v>3000</v>
      </c>
      <c r="G235" s="3485"/>
      <c r="H235" s="1"/>
      <c r="I235" s="4"/>
      <c r="K235" s="8" t="s">
        <v>184</v>
      </c>
      <c r="L235" s="3463">
        <f>SUM(L231:L234)</f>
        <v>12000</v>
      </c>
      <c r="M235" s="3545"/>
      <c r="N235" s="3473"/>
      <c r="O235" s="3548" t="s">
        <v>4828</v>
      </c>
      <c r="P235" s="3548"/>
      <c r="Q235" s="3548"/>
      <c r="R235" s="1"/>
      <c r="S235" s="3488"/>
      <c r="T235" s="3489"/>
      <c r="U235" s="3489"/>
      <c r="V235" s="3489"/>
      <c r="W235" s="3490"/>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4">
        <v>1000</v>
      </c>
      <c r="G236" s="3485"/>
      <c r="H236" s="1"/>
      <c r="N236" s="1"/>
      <c r="O236" s="3548"/>
      <c r="P236" s="3548"/>
      <c r="Q236" s="3548"/>
      <c r="R236" s="876"/>
      <c r="S236" s="3488"/>
      <c r="T236" s="3489"/>
      <c r="U236" s="3489"/>
      <c r="V236" s="3489"/>
      <c r="W236" s="3490"/>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4"/>
      <c r="G237" s="3485"/>
      <c r="H237" s="1"/>
      <c r="L237" s="1"/>
      <c r="M237" s="1"/>
      <c r="N237" s="1"/>
      <c r="R237" s="876"/>
      <c r="S237" s="3488"/>
      <c r="T237" s="3489"/>
      <c r="U237" s="3489"/>
      <c r="V237" s="3489"/>
      <c r="W237" s="3490"/>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4343</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4"/>
      <c r="G238" s="3485"/>
      <c r="H238" s="1"/>
      <c r="I238" s="4" t="s">
        <v>1295</v>
      </c>
      <c r="K238" s="248" t="s">
        <v>3759</v>
      </c>
      <c r="O238" s="1249" t="s">
        <v>3001</v>
      </c>
      <c r="P238" s="4"/>
      <c r="Q238" s="904">
        <f>Q247</f>
        <v>15000</v>
      </c>
      <c r="S238" s="3488"/>
      <c r="T238" s="3489"/>
      <c r="U238" s="3489"/>
      <c r="V238" s="3489"/>
      <c r="W238" s="3490"/>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5" t="s">
        <v>46</v>
      </c>
      <c r="C239" s="3456"/>
      <c r="D239" s="3456"/>
      <c r="E239" s="3457"/>
      <c r="F239" s="3495"/>
      <c r="G239" s="3496"/>
      <c r="H239" s="1"/>
      <c r="I239" s="1" t="s">
        <v>1288</v>
      </c>
      <c r="K239" s="364">
        <f>L239/12/P67</f>
        <v>25</v>
      </c>
      <c r="L239" s="3486">
        <v>15000</v>
      </c>
      <c r="M239" s="3487"/>
      <c r="N239" s="3473" t="str">
        <f>IF(Q238&lt;Q247, "WARNING! RR proposed is below the DCA required minimum.","")</f>
        <v/>
      </c>
      <c r="O239" s="759" t="s">
        <v>3758</v>
      </c>
      <c r="P239" s="754"/>
      <c r="Q239" s="760">
        <f>Q238/P247</f>
        <v>300</v>
      </c>
      <c r="R239" s="659"/>
      <c r="S239" s="3488"/>
      <c r="T239" s="3489"/>
      <c r="U239" s="3489"/>
      <c r="V239" s="3489"/>
      <c r="W239" s="3490"/>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5">
        <f>SUM(F234:G239)</f>
        <v>14000</v>
      </c>
      <c r="G240" s="3476"/>
      <c r="H240" s="1"/>
      <c r="I240" s="1" t="s">
        <v>1289</v>
      </c>
      <c r="K240" s="364">
        <f>L240/12/P67</f>
        <v>0</v>
      </c>
      <c r="L240" s="3482"/>
      <c r="M240" s="3483"/>
      <c r="N240" s="3474"/>
      <c r="O240" s="3477" t="s">
        <v>3146</v>
      </c>
      <c r="P240" s="3478"/>
      <c r="Q240" s="3479"/>
      <c r="S240" s="3488"/>
      <c r="T240" s="3489"/>
      <c r="U240" s="3489"/>
      <c r="V240" s="3489"/>
      <c r="W240" s="3490"/>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3803</v>
      </c>
      <c r="K241" s="364">
        <f>L241/12/P67</f>
        <v>8.3333333333333339</v>
      </c>
      <c r="L241" s="3482">
        <v>5000</v>
      </c>
      <c r="M241" s="3483"/>
      <c r="N241" s="3474"/>
      <c r="O241" s="753" t="s">
        <v>2458</v>
      </c>
      <c r="P241" s="657" t="s">
        <v>3200</v>
      </c>
      <c r="Q241" s="755" t="s">
        <v>2972</v>
      </c>
      <c r="R241" s="1"/>
      <c r="S241" s="3488"/>
      <c r="T241" s="3489"/>
      <c r="U241" s="3489"/>
      <c r="V241" s="3489"/>
      <c r="W241" s="3490"/>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4276</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8.3333333333333339</v>
      </c>
      <c r="L242" s="3482">
        <v>5000</v>
      </c>
      <c r="M242" s="3483"/>
      <c r="N242" s="3474"/>
      <c r="O242" s="498" t="s">
        <v>36</v>
      </c>
      <c r="Q242" s="499"/>
      <c r="R242" s="660"/>
      <c r="S242" s="3488"/>
      <c r="T242" s="3489"/>
      <c r="U242" s="3489"/>
      <c r="V242" s="3489"/>
      <c r="W242" s="3490"/>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6">
        <v>7750</v>
      </c>
      <c r="G243" s="3547"/>
      <c r="H243" s="1"/>
      <c r="I243" s="72" t="s">
        <v>4573</v>
      </c>
      <c r="K243" s="364">
        <f>L243/12/P67</f>
        <v>0</v>
      </c>
      <c r="L243" s="3482"/>
      <c r="M243" s="3483"/>
      <c r="N243" s="3474"/>
      <c r="O243" s="386" t="s">
        <v>2970</v>
      </c>
      <c r="P243" s="661" t="str">
        <f>CONCATENATE(SUM(MF49:MJ49)," units x $",'DCA Underwriting Assumptions'!$Q$41," =")</f>
        <v>0 units x $400 =</v>
      </c>
      <c r="Q243" s="500">
        <f>SUM(MF49:MJ49)*'DCA Underwriting Assumptions'!$Q$41</f>
        <v>0</v>
      </c>
      <c r="R243" s="663"/>
      <c r="S243" s="3488"/>
      <c r="T243" s="3489"/>
      <c r="U243" s="3489"/>
      <c r="V243" s="3489"/>
      <c r="W243" s="3490"/>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1">
        <v>12200</v>
      </c>
      <c r="G244" s="3492"/>
      <c r="H244" s="1"/>
      <c r="I244" s="3480" t="s">
        <v>46</v>
      </c>
      <c r="J244" s="3481"/>
      <c r="K244" s="364">
        <f>L244/12/P67</f>
        <v>0</v>
      </c>
      <c r="L244" s="3493"/>
      <c r="M244" s="3494"/>
      <c r="N244" s="3474"/>
      <c r="O244" s="386" t="s">
        <v>2969</v>
      </c>
      <c r="P244" s="661" t="str">
        <f>CONCATENATE(SUM(MK49:MO49)," units x $",'DCA Underwriting Assumptions'!$Q$42," =")</f>
        <v>50 units x $300 =</v>
      </c>
      <c r="Q244" s="500">
        <f>SUM(MK49:MO49)*'DCA Underwriting Assumptions'!$Q$42</f>
        <v>15000</v>
      </c>
      <c r="S244" s="3488"/>
      <c r="T244" s="3489"/>
      <c r="U244" s="3489"/>
      <c r="V244" s="3489"/>
      <c r="W244" s="3490"/>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1">
        <v>3000</v>
      </c>
      <c r="G245" s="3492"/>
      <c r="H245" s="1"/>
      <c r="K245" s="8" t="s">
        <v>184</v>
      </c>
      <c r="L245" s="3463">
        <f>SUM(L239:L244)</f>
        <v>25000</v>
      </c>
      <c r="M245" s="3545"/>
      <c r="N245" s="3474"/>
      <c r="O245" s="501" t="s">
        <v>4395</v>
      </c>
      <c r="P245" s="661" t="str">
        <f>CONCATENATE(SUM(MP49:MT49)," units x $",'DCA Underwriting Assumptions'!$Q$43," =")</f>
        <v>0 units x $470 =</v>
      </c>
      <c r="Q245" s="500">
        <f>SUM(MP49:MT49)*'DCA Underwriting Assumptions'!$Q$43</f>
        <v>0</v>
      </c>
      <c r="R245" s="657"/>
      <c r="S245" s="3488"/>
      <c r="T245" s="3489"/>
      <c r="U245" s="3489"/>
      <c r="V245" s="3489"/>
      <c r="W245" s="3490"/>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4">
        <v>3750</v>
      </c>
      <c r="G246" s="3485"/>
      <c r="H246" s="1"/>
      <c r="O246" s="501" t="s">
        <v>2968</v>
      </c>
      <c r="P246" s="661" t="str">
        <f>CONCATENATE(P125," units x $",'DCA Underwriting Assumptions'!$Q$44," =")</f>
        <v>0 units x $420 =</v>
      </c>
      <c r="Q246" s="500">
        <f>P125*'DCA Underwriting Assumptions'!$Q$44</f>
        <v>0</v>
      </c>
      <c r="S246" s="3488"/>
      <c r="T246" s="3489"/>
      <c r="U246" s="3489"/>
      <c r="V246" s="3489"/>
      <c r="W246" s="3490"/>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4344</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4">
        <v>5600</v>
      </c>
      <c r="G247" s="3485"/>
      <c r="H247" s="1"/>
      <c r="I247" s="4" t="s">
        <v>1296</v>
      </c>
      <c r="O247" s="756" t="s">
        <v>2461</v>
      </c>
      <c r="P247" s="757">
        <f>SUM(MF49:MJ49)+SUM(MK49:MO49)+SUM(MP49:MT49)+P125</f>
        <v>50</v>
      </c>
      <c r="Q247" s="758">
        <f>SUM(Q243:Q246)</f>
        <v>15000</v>
      </c>
      <c r="R247" s="661"/>
      <c r="S247" s="3488"/>
      <c r="T247" s="3489"/>
      <c r="U247" s="3489"/>
      <c r="V247" s="3489"/>
      <c r="W247" s="3490"/>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4">
        <v>8000</v>
      </c>
      <c r="G248" s="3485"/>
      <c r="H248" s="1"/>
      <c r="I248" s="72" t="s">
        <v>3804</v>
      </c>
      <c r="K248" s="1"/>
      <c r="L248" s="3486">
        <v>65500</v>
      </c>
      <c r="M248" s="3487"/>
      <c r="R248" s="661"/>
      <c r="S248" s="3488"/>
      <c r="T248" s="3489"/>
      <c r="U248" s="3489"/>
      <c r="V248" s="3489"/>
      <c r="W248" s="3490"/>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4">
        <v>2200</v>
      </c>
      <c r="G249" s="3485"/>
      <c r="H249" s="1"/>
      <c r="I249" s="1" t="s">
        <v>140</v>
      </c>
      <c r="K249" s="1"/>
      <c r="L249" s="3482">
        <v>13498</v>
      </c>
      <c r="M249" s="3483"/>
      <c r="R249" s="661"/>
      <c r="S249" s="3488"/>
      <c r="T249" s="3489"/>
      <c r="U249" s="3489"/>
      <c r="V249" s="3489"/>
      <c r="W249" s="3490"/>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5" t="s">
        <v>46</v>
      </c>
      <c r="C250" s="3456"/>
      <c r="D250" s="3456"/>
      <c r="E250" s="3457"/>
      <c r="F250" s="3495"/>
      <c r="G250" s="3496"/>
      <c r="H250" s="1"/>
      <c r="I250" s="3458" t="s">
        <v>5194</v>
      </c>
      <c r="J250" s="3459"/>
      <c r="K250" s="3460"/>
      <c r="L250" s="3543">
        <v>1250</v>
      </c>
      <c r="M250" s="3544"/>
      <c r="N250" s="1"/>
      <c r="R250" s="661"/>
      <c r="S250" s="3488"/>
      <c r="T250" s="3489"/>
      <c r="U250" s="3489"/>
      <c r="V250" s="3489"/>
      <c r="W250" s="3490"/>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4345</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1">
        <f>SUM(F243:G250)</f>
        <v>42500</v>
      </c>
      <c r="G251" s="3462"/>
      <c r="H251" s="1"/>
      <c r="K251" s="8" t="s">
        <v>184</v>
      </c>
      <c r="L251" s="3463">
        <f>SUM(L247:L250)</f>
        <v>80248</v>
      </c>
      <c r="M251" s="3464"/>
      <c r="N251" s="1"/>
      <c r="O251" s="4" t="s">
        <v>2025</v>
      </c>
      <c r="P251" s="1"/>
      <c r="Q251" s="325">
        <f>Q232+Q238</f>
        <v>323147</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3287</v>
      </c>
      <c r="B255" s="4" t="s">
        <v>3748</v>
      </c>
      <c r="C255" s="8"/>
      <c r="D255" s="1"/>
      <c r="E255" s="1"/>
      <c r="H255" s="9"/>
      <c r="I255" s="1162" t="s">
        <v>3749</v>
      </c>
      <c r="K255" s="3468"/>
      <c r="L255" s="3469"/>
      <c r="M255" s="1221" t="s">
        <v>3776</v>
      </c>
      <c r="N255" s="1163"/>
      <c r="O255" s="4" t="s">
        <v>3751</v>
      </c>
      <c r="P255" s="1"/>
      <c r="Q255" s="1183">
        <f>K255*N255</f>
        <v>0</v>
      </c>
      <c r="R255" s="659"/>
      <c r="S255" s="3470"/>
      <c r="T255" s="3471"/>
      <c r="U255" s="3471"/>
      <c r="V255" s="3471"/>
      <c r="W255" s="3472"/>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3777</v>
      </c>
      <c r="C257" s="8"/>
      <c r="D257" s="1"/>
      <c r="E257" s="1"/>
      <c r="F257" s="9"/>
      <c r="G257" s="9"/>
      <c r="H257" s="1"/>
      <c r="I257" s="1"/>
      <c r="J257" s="1202" t="s">
        <v>1641</v>
      </c>
      <c r="K257" s="1162" t="s">
        <v>3779</v>
      </c>
      <c r="L257" s="1202" t="s">
        <v>1641</v>
      </c>
      <c r="M257" s="53" t="s">
        <v>3780</v>
      </c>
      <c r="N257" s="1163"/>
      <c r="O257" s="72" t="s">
        <v>3778</v>
      </c>
      <c r="P257" s="1"/>
      <c r="Q257" s="1222"/>
      <c r="R257" s="659"/>
      <c r="S257" s="3470"/>
      <c r="T257" s="3471"/>
      <c r="U257" s="3471"/>
      <c r="V257" s="3471"/>
      <c r="W257" s="3472"/>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4346</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3747</v>
      </c>
      <c r="B259" s="10" t="s">
        <v>529</v>
      </c>
      <c r="N259" s="10" t="s">
        <v>4542</v>
      </c>
      <c r="O259" s="10"/>
      <c r="NP259" s="1632"/>
      <c r="NQ259" s="2482">
        <v>259</v>
      </c>
    </row>
    <row r="260" spans="1:493" ht="409.5" customHeight="1">
      <c r="A260" s="3453" t="s">
        <v>5196</v>
      </c>
      <c r="B260" s="3453"/>
      <c r="C260" s="3453"/>
      <c r="D260" s="3453"/>
      <c r="E260" s="3453"/>
      <c r="F260" s="3453"/>
      <c r="G260" s="3453"/>
      <c r="H260" s="3453"/>
      <c r="I260" s="3453"/>
      <c r="J260" s="3453"/>
      <c r="K260" s="3453"/>
      <c r="L260" s="3453"/>
      <c r="M260" s="3453"/>
      <c r="N260" s="3454"/>
      <c r="O260" s="3454"/>
      <c r="P260" s="3454"/>
      <c r="Q260" s="3454"/>
      <c r="R260" s="2912" t="s">
        <v>3286</v>
      </c>
      <c r="S260" s="2908"/>
      <c r="T260" s="2908"/>
      <c r="U260" s="2908"/>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hr+3jGtVRurG61aLrYdVEkpJbAviuO1OYvDqYPA4TZWZfJQBtJpdXth/yUTh9EYd0Jc4R4ZGnJWcZF/AHOBTdw==" saltValue="MbLbK6SlidSIN2MvQkrjI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122" sqref="B122:F12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4347</v>
      </c>
      <c r="C1" s="1631" t="s">
        <v>4348</v>
      </c>
      <c r="D1" s="1631" t="s">
        <v>4349</v>
      </c>
      <c r="E1" s="1631" t="s">
        <v>4350</v>
      </c>
      <c r="F1" s="1631" t="s">
        <v>4351</v>
      </c>
      <c r="G1" s="1631" t="s">
        <v>4352</v>
      </c>
      <c r="H1" s="1631" t="s">
        <v>4353</v>
      </c>
      <c r="I1" s="1631" t="s">
        <v>4354</v>
      </c>
      <c r="J1" s="1631" t="s">
        <v>4355</v>
      </c>
      <c r="K1" s="1631" t="s">
        <v>4356</v>
      </c>
      <c r="AA1" s="1633">
        <v>1</v>
      </c>
    </row>
    <row r="2" spans="1:27" ht="14.1" customHeight="1">
      <c r="A2" s="3577" t="str">
        <f>CONCATENATE("PART SIX - OPERATING PRO FORMA","  -  ",'Part I-Project Identification'!$O$7," ",'Part I-Project Identification'!$F$26,", ",'Part I-Project Identification'!F27,", ",'Part I-Project Identification'!J27," County")</f>
        <v>PART SIX - OPERATING PRO FORMA  -  2024-0 Lewis Crossing, Atlanta, Fulton County</v>
      </c>
      <c r="B2" s="3578"/>
      <c r="C2" s="3578"/>
      <c r="D2" s="3578"/>
      <c r="E2" s="3578"/>
      <c r="F2" s="3578"/>
      <c r="G2" s="3578"/>
      <c r="H2" s="3578"/>
      <c r="I2" s="3578"/>
      <c r="J2" s="3578"/>
      <c r="K2" s="3579"/>
      <c r="L2" s="4"/>
      <c r="M2" s="4"/>
      <c r="N2" s="3580" t="str">
        <f>A2</f>
        <v>PART SIX - OPERATING PRO FORMA  -  2024-0 Lewis Crossing, Atlanta, Fulton County</v>
      </c>
      <c r="O2" s="3580"/>
      <c r="P2" s="4"/>
      <c r="AA2" s="1633">
        <v>2</v>
      </c>
    </row>
    <row r="3" spans="1:27" ht="13.5" customHeight="1">
      <c r="A3" s="381"/>
      <c r="B3" s="381"/>
      <c r="C3" s="381"/>
      <c r="D3" s="381"/>
      <c r="E3" s="381"/>
      <c r="F3" s="381"/>
      <c r="G3" s="381"/>
      <c r="H3" s="381"/>
      <c r="I3" s="381"/>
      <c r="J3" s="381"/>
      <c r="K3" s="381"/>
      <c r="N3" s="3439" t="s">
        <v>1706</v>
      </c>
      <c r="O3" s="3439"/>
      <c r="AA3" s="1633">
        <v>3</v>
      </c>
    </row>
    <row r="4" spans="1:27" ht="13.5" customHeight="1">
      <c r="A4" s="10" t="s">
        <v>85</v>
      </c>
      <c r="C4" s="3581" t="str">
        <f>'Part I-Project Identification'!$A$6</f>
        <v>2024 May 7</v>
      </c>
      <c r="D4" s="931" t="s">
        <v>75</v>
      </c>
      <c r="E4" s="180"/>
      <c r="F4" s="932" t="s">
        <v>3315</v>
      </c>
      <c r="N4" s="10" t="str">
        <f>A4</f>
        <v>I.  OPERATING ASSUMPTIONS</v>
      </c>
      <c r="O4" s="10"/>
      <c r="AA4" s="1633">
        <v>4</v>
      </c>
    </row>
    <row r="5" spans="1:27" ht="2.65" customHeight="1">
      <c r="C5" s="3582"/>
      <c r="AA5" s="1633">
        <v>5</v>
      </c>
    </row>
    <row r="6" spans="1:27" ht="13.5" customHeight="1">
      <c r="A6" s="6" t="s">
        <v>2026</v>
      </c>
      <c r="B6" s="58">
        <f>'DCA Underwriting Assumptions'!$Q$114</f>
        <v>0.02</v>
      </c>
      <c r="C6" s="3582"/>
      <c r="D6" s="3506" t="s">
        <v>3316</v>
      </c>
      <c r="E6" s="3506"/>
      <c r="F6" s="3506"/>
      <c r="G6" s="59">
        <v>7500</v>
      </c>
      <c r="H6" s="75" t="s">
        <v>1763</v>
      </c>
      <c r="K6" s="80">
        <f>IF(($B$15+$B$16+$B$17+$B$18)=0,"",B31/($B$15+$B$16+$B$17+$B$18))</f>
        <v>-1.3473646087199283E-2</v>
      </c>
      <c r="N6" s="3508"/>
      <c r="O6" s="3510"/>
      <c r="AA6" s="1633">
        <v>6</v>
      </c>
    </row>
    <row r="7" spans="1:27">
      <c r="A7" s="6" t="s">
        <v>2027</v>
      </c>
      <c r="B7" s="58">
        <f>'DCA Underwriting Assumptions'!$Q$117</f>
        <v>0.03</v>
      </c>
      <c r="C7" s="3582"/>
      <c r="D7" s="3506"/>
      <c r="E7" s="3506"/>
      <c r="F7" s="3506"/>
      <c r="G7" s="933">
        <f>IF(OR('Part II-Sources of Funds'!E6="Yes",'Part II-Sources of Funds'!I6&gt;0),'DCA Underwriting Assumptions'!$Q$79,0)</f>
        <v>0</v>
      </c>
      <c r="N7" s="3488"/>
      <c r="O7" s="3490"/>
      <c r="AA7" s="1633">
        <v>7</v>
      </c>
    </row>
    <row r="8" spans="1:27">
      <c r="A8" s="6" t="s">
        <v>2029</v>
      </c>
      <c r="B8" s="58">
        <f>'DCA Underwriting Assumptions'!$Q$118</f>
        <v>0.03</v>
      </c>
      <c r="C8" s="3582"/>
      <c r="D8" s="1" t="s">
        <v>258</v>
      </c>
      <c r="G8" s="61"/>
      <c r="H8" s="75" t="s">
        <v>2185</v>
      </c>
      <c r="K8" s="80">
        <f>IF(($B$15+$B$16+$B$17+$B$18)=0,"",-B22/($B$15+$B$16+$B$17+$B$18))</f>
        <v>6.0000840755515844E-2</v>
      </c>
      <c r="N8" s="3488"/>
      <c r="O8" s="3490"/>
      <c r="AA8" s="1633">
        <v>8</v>
      </c>
    </row>
    <row r="9" spans="1:27" ht="13.35" customHeight="1">
      <c r="A9" s="6" t="s">
        <v>2028</v>
      </c>
      <c r="B9" s="186">
        <v>7.0000000000000007E-2</v>
      </c>
      <c r="C9" s="1154" t="str">
        <f>IF(B9&lt;0.07, "Must be &gt;= 7%!","")</f>
        <v/>
      </c>
      <c r="D9" s="1" t="s">
        <v>2301</v>
      </c>
      <c r="G9" s="1169" t="s">
        <v>2645</v>
      </c>
      <c r="H9" s="140" t="s">
        <v>1353</v>
      </c>
      <c r="K9" s="1171"/>
      <c r="N9" s="3488"/>
      <c r="O9" s="3490"/>
      <c r="AA9" s="1633">
        <v>9</v>
      </c>
    </row>
    <row r="10" spans="1:27">
      <c r="A10" s="6" t="s">
        <v>1334</v>
      </c>
      <c r="B10" s="58">
        <v>0.02</v>
      </c>
      <c r="D10" s="1" t="s">
        <v>1595</v>
      </c>
      <c r="G10" s="1170" t="s">
        <v>2642</v>
      </c>
      <c r="H10" s="140" t="s">
        <v>2168</v>
      </c>
      <c r="K10" s="1172">
        <v>0.06</v>
      </c>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4" t="s">
        <v>2404</v>
      </c>
      <c r="O14" s="3154"/>
      <c r="AA14" s="1633">
        <v>14</v>
      </c>
    </row>
    <row r="15" spans="1:27" ht="13.35" customHeight="1">
      <c r="A15" s="14" t="s">
        <v>2209</v>
      </c>
      <c r="B15" s="15">
        <f>'Part V-Revenues &amp; Expenses'!$M$50</f>
        <v>591540</v>
      </c>
      <c r="C15" s="15">
        <f t="shared" ref="C15:K15" si="1">$B$15*(1+$B$6)^(C14-1)</f>
        <v>603370.80000000005</v>
      </c>
      <c r="D15" s="15">
        <f t="shared" si="1"/>
        <v>615438.21600000001</v>
      </c>
      <c r="E15" s="15">
        <f t="shared" si="1"/>
        <v>627746.98031999997</v>
      </c>
      <c r="F15" s="15">
        <f t="shared" si="1"/>
        <v>640301.91992639995</v>
      </c>
      <c r="G15" s="15">
        <f t="shared" si="1"/>
        <v>653107.95832492795</v>
      </c>
      <c r="H15" s="15">
        <f t="shared" si="1"/>
        <v>666170.11749142664</v>
      </c>
      <c r="I15" s="15">
        <f t="shared" si="1"/>
        <v>679493.51984125504</v>
      </c>
      <c r="J15" s="15">
        <f t="shared" si="1"/>
        <v>693083.39023808017</v>
      </c>
      <c r="K15" s="16">
        <f t="shared" si="1"/>
        <v>706945.05804284173</v>
      </c>
      <c r="N15" s="3508"/>
      <c r="O15" s="3510"/>
      <c r="S15" s="3573" t="s">
        <v>3321</v>
      </c>
      <c r="Z15" s="1631" t="s">
        <v>4357</v>
      </c>
      <c r="AA15" s="1633">
        <v>15</v>
      </c>
    </row>
    <row r="16" spans="1:27" ht="13.35" customHeight="1">
      <c r="A16" s="17" t="s">
        <v>951</v>
      </c>
      <c r="B16" s="18">
        <f>MIN(B15*B10,'Part V-Revenues &amp; Expenses'!$H$183)</f>
        <v>7000</v>
      </c>
      <c r="C16" s="18">
        <f t="shared" ref="C16:K16" si="2">$B$16*(1+$B$6)^(C14-1)</f>
        <v>7140</v>
      </c>
      <c r="D16" s="18">
        <f t="shared" si="2"/>
        <v>7282.8</v>
      </c>
      <c r="E16" s="18">
        <f t="shared" si="2"/>
        <v>7428.4559999999992</v>
      </c>
      <c r="F16" s="18">
        <f t="shared" si="2"/>
        <v>7577.0251200000002</v>
      </c>
      <c r="G16" s="18">
        <f t="shared" si="2"/>
        <v>7728.5656224000004</v>
      </c>
      <c r="H16" s="18">
        <f t="shared" si="2"/>
        <v>7883.1369348480002</v>
      </c>
      <c r="I16" s="18">
        <f t="shared" si="2"/>
        <v>8040.7996735449588</v>
      </c>
      <c r="J16" s="18">
        <f t="shared" si="2"/>
        <v>8201.615667015858</v>
      </c>
      <c r="K16" s="19">
        <f t="shared" si="2"/>
        <v>8365.647980356176</v>
      </c>
      <c r="N16" s="3488"/>
      <c r="O16" s="3490"/>
      <c r="S16" s="3574"/>
      <c r="Z16" s="1631" t="s">
        <v>4357</v>
      </c>
      <c r="AA16" s="1633">
        <v>16</v>
      </c>
    </row>
    <row r="17" spans="1:27" ht="13.35" customHeight="1">
      <c r="A17" s="17" t="s">
        <v>2210</v>
      </c>
      <c r="B17" s="18">
        <f t="shared" ref="B17:K17" si="3">-(B15+B16)*$B$9</f>
        <v>-41897.800000000003</v>
      </c>
      <c r="C17" s="18">
        <f t="shared" si="3"/>
        <v>-42735.756000000008</v>
      </c>
      <c r="D17" s="18">
        <f t="shared" si="3"/>
        <v>-43590.471120000009</v>
      </c>
      <c r="E17" s="18">
        <f t="shared" si="3"/>
        <v>-44462.280542400003</v>
      </c>
      <c r="F17" s="18">
        <f t="shared" si="3"/>
        <v>-45351.526153248</v>
      </c>
      <c r="G17" s="18">
        <f t="shared" si="3"/>
        <v>-46258.556676312961</v>
      </c>
      <c r="H17" s="18">
        <f t="shared" si="3"/>
        <v>-47183.727809839234</v>
      </c>
      <c r="I17" s="18">
        <f t="shared" si="3"/>
        <v>-48127.402366036004</v>
      </c>
      <c r="J17" s="18">
        <f t="shared" si="3"/>
        <v>-49089.950413356732</v>
      </c>
      <c r="K17" s="19">
        <f t="shared" si="3"/>
        <v>-50071.749421623856</v>
      </c>
      <c r="N17" s="3488"/>
      <c r="O17" s="3490"/>
      <c r="Q17" s="3576" t="s">
        <v>3215</v>
      </c>
      <c r="R17" s="3576" t="s">
        <v>3320</v>
      </c>
      <c r="S17" s="3574"/>
      <c r="Z17" s="1631" t="s">
        <v>4357</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8"/>
      <c r="O18" s="3490"/>
      <c r="Q18" s="3576"/>
      <c r="R18" s="3576"/>
      <c r="S18" s="3575"/>
      <c r="Z18" s="1631" t="s">
        <v>4357</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8"/>
      <c r="O19" s="3490"/>
      <c r="Z19" s="1631" t="s">
        <v>4357</v>
      </c>
      <c r="AA19" s="1633">
        <v>19</v>
      </c>
    </row>
    <row r="20" spans="1:27" ht="13.35" customHeight="1">
      <c r="A20" s="340" t="s">
        <v>3713</v>
      </c>
      <c r="B20" s="18">
        <f>SUM(B15:B19)</f>
        <v>556642.19999999995</v>
      </c>
      <c r="C20" s="18">
        <f t="shared" ref="C20:K20" si="4">SUM(C15:C19)</f>
        <v>567775.04399999999</v>
      </c>
      <c r="D20" s="18">
        <f t="shared" si="4"/>
        <v>579130.54488000006</v>
      </c>
      <c r="E20" s="18">
        <f t="shared" si="4"/>
        <v>590713.15577760001</v>
      </c>
      <c r="F20" s="18">
        <f t="shared" si="4"/>
        <v>602527.41889315192</v>
      </c>
      <c r="G20" s="18">
        <f t="shared" si="4"/>
        <v>614577.96727101505</v>
      </c>
      <c r="H20" s="18">
        <f t="shared" si="4"/>
        <v>626869.5266164355</v>
      </c>
      <c r="I20" s="18">
        <f t="shared" si="4"/>
        <v>639406.91714876401</v>
      </c>
      <c r="J20" s="18">
        <f t="shared" si="4"/>
        <v>652195.0554917393</v>
      </c>
      <c r="K20" s="19">
        <f t="shared" si="4"/>
        <v>665238.95660157397</v>
      </c>
      <c r="N20" s="3488"/>
      <c r="O20" s="3490"/>
      <c r="Z20" s="1631" t="s">
        <v>4357</v>
      </c>
      <c r="AA20" s="1633">
        <v>20</v>
      </c>
    </row>
    <row r="21" spans="1:27" ht="13.35" customHeight="1">
      <c r="A21" s="17" t="s">
        <v>571</v>
      </c>
      <c r="B21" s="18">
        <f>-('Part V-Revenues &amp; Expenses'!$Q$232-'Part V-Revenues &amp; Expenses'!$Q$224)</f>
        <v>-274748</v>
      </c>
      <c r="C21" s="18">
        <f t="shared" ref="C21:K21" si="5">$B$21*(1+$B$7)^(C14-1)</f>
        <v>-282990.44</v>
      </c>
      <c r="D21" s="18">
        <f t="shared" si="5"/>
        <v>-291480.1532</v>
      </c>
      <c r="E21" s="18">
        <f t="shared" si="5"/>
        <v>-300224.55779599998</v>
      </c>
      <c r="F21" s="18">
        <f t="shared" si="5"/>
        <v>-309231.29452987999</v>
      </c>
      <c r="G21" s="18">
        <f t="shared" si="5"/>
        <v>-318508.23336577637</v>
      </c>
      <c r="H21" s="18">
        <f t="shared" si="5"/>
        <v>-328063.48036674969</v>
      </c>
      <c r="I21" s="18">
        <f t="shared" si="5"/>
        <v>-337905.38477775216</v>
      </c>
      <c r="J21" s="18">
        <f t="shared" si="5"/>
        <v>-348042.54632108472</v>
      </c>
      <c r="K21" s="19">
        <f t="shared" si="5"/>
        <v>-358483.82271071727</v>
      </c>
      <c r="N21" s="3488"/>
      <c r="O21" s="3490"/>
      <c r="Q21" s="47">
        <v>1</v>
      </c>
      <c r="R21" s="856">
        <f>-B32</f>
        <v>17989.73</v>
      </c>
      <c r="S21" s="856">
        <f>B33+R21</f>
        <v>35525.667821331634</v>
      </c>
      <c r="Z21" s="1631" t="s">
        <v>4357</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-33399</v>
      </c>
      <c r="C22" s="18">
        <f>IF(AND('Part VI-Pro Forma'!$G$9="Yes",'Part VI-Pro Forma'!$G$10="Yes"),"Choose One!",IF('Part VI-Pro Forma'!$G$9="Yes",ROUND((-$K$9*(1+'Part VI-Pro Forma'!$B$7)^('Part VI-Pro Forma'!C14-1)),),IF('Part VI-Pro Forma'!$G$10="Yes",ROUND((-(SUM(C15:C18)*'Part VI-Pro Forma'!$K$10)),),"Choose mgt fee")))</f>
        <v>-34067</v>
      </c>
      <c r="D22" s="18">
        <f>IF(AND('Part VI-Pro Forma'!$G$9="Yes",'Part VI-Pro Forma'!$G$10="Yes"),"Choose One!",IF('Part VI-Pro Forma'!$G$9="Yes",ROUND((-$K$9*(1+'Part VI-Pro Forma'!$B$7)^('Part VI-Pro Forma'!D14-1)),),IF('Part VI-Pro Forma'!$G$10="Yes",ROUND((-(SUM(D15:D18)*'Part VI-Pro Forma'!$K$10)),),"Choose mgt fee")))</f>
        <v>-34748</v>
      </c>
      <c r="E22" s="18">
        <f>IF(AND('Part VI-Pro Forma'!$G$9="Yes",'Part VI-Pro Forma'!$G$10="Yes"),"Choose One!",IF('Part VI-Pro Forma'!$G$9="Yes",ROUND((-$K$9*(1+'Part VI-Pro Forma'!$B$7)^('Part VI-Pro Forma'!E14-1)),),IF('Part VI-Pro Forma'!$G$10="Yes",ROUND((-(SUM(E15:E18)*'Part VI-Pro Forma'!$K$10)),),"Choose mgt fee")))</f>
        <v>-35443</v>
      </c>
      <c r="F22" s="18">
        <f>IF(AND('Part VI-Pro Forma'!$G$9="Yes",'Part VI-Pro Forma'!$G$10="Yes"),"Choose One!",IF('Part VI-Pro Forma'!$G$9="Yes",ROUND((-$K$9*(1+'Part VI-Pro Forma'!$B$7)^('Part VI-Pro Forma'!F14-1)),),IF('Part VI-Pro Forma'!$G$10="Yes",ROUND((-(SUM(F15:F18)*'Part VI-Pro Forma'!$K$10)),),"Choose mgt fee")))</f>
        <v>-36152</v>
      </c>
      <c r="G22" s="18">
        <f>IF(AND('Part VI-Pro Forma'!$G$9="Yes",'Part VI-Pro Forma'!$G$10="Yes"),"Choose One!",IF('Part VI-Pro Forma'!$G$9="Yes",ROUND((-$K$9*(1+'Part VI-Pro Forma'!$B$7)^('Part VI-Pro Forma'!G14-1)),),IF('Part VI-Pro Forma'!$G$10="Yes",ROUND((-(SUM(G15:G18)*'Part VI-Pro Forma'!$K$10)),),"Choose mgt fee")))</f>
        <v>-36875</v>
      </c>
      <c r="H22" s="18">
        <f>IF(AND('Part VI-Pro Forma'!$G$9="Yes",'Part VI-Pro Forma'!$G$10="Yes"),"Choose One!",IF('Part VI-Pro Forma'!$G$9="Yes",ROUND((-$K$9*(1+'Part VI-Pro Forma'!$B$7)^('Part VI-Pro Forma'!H14-1)),),IF('Part VI-Pro Forma'!$G$10="Yes",ROUND((-(SUM(H15:H18)*'Part VI-Pro Forma'!$K$10)),),"Choose mgt fee")))</f>
        <v>-37612</v>
      </c>
      <c r="I22" s="18">
        <f>IF(AND('Part VI-Pro Forma'!$G$9="Yes",'Part VI-Pro Forma'!$G$10="Yes"),"Choose One!",IF('Part VI-Pro Forma'!$G$9="Yes",ROUND((-$K$9*(1+'Part VI-Pro Forma'!$B$7)^('Part VI-Pro Forma'!I14-1)),),IF('Part VI-Pro Forma'!$G$10="Yes",ROUND((-(SUM(I15:I18)*'Part VI-Pro Forma'!$K$10)),),"Choose mgt fee")))</f>
        <v>-38364</v>
      </c>
      <c r="J22" s="18">
        <f>IF(AND('Part VI-Pro Forma'!$G$9="Yes",'Part VI-Pro Forma'!$G$10="Yes"),"Choose One!",IF('Part VI-Pro Forma'!$G$9="Yes",ROUND((-$K$9*(1+'Part VI-Pro Forma'!$B$7)^('Part VI-Pro Forma'!J14-1)),),IF('Part VI-Pro Forma'!$G$10="Yes",ROUND((-(SUM(J15:J18)*'Part VI-Pro Forma'!$K$10)),),"Choose mgt fee")))</f>
        <v>-39132</v>
      </c>
      <c r="K22" s="19">
        <f>IF(AND('Part VI-Pro Forma'!$G$9="Yes",'Part VI-Pro Forma'!$G$10="Yes"),"Choose One!",IF('Part VI-Pro Forma'!$G$9="Yes",ROUND((-$K$9*(1+'Part VI-Pro Forma'!$B$7)^('Part VI-Pro Forma'!K14-1)),),IF('Part VI-Pro Forma'!$G$10="Yes",ROUND((-(SUM(K15:K18)*'Part VI-Pro Forma'!$K$10)),),"Choose mgt fee")))</f>
        <v>-39914</v>
      </c>
      <c r="N22" s="3488"/>
      <c r="O22" s="3490"/>
      <c r="Q22" s="47">
        <v>2</v>
      </c>
      <c r="R22" s="856">
        <f>-SUM(B32:C32)</f>
        <v>35979.46</v>
      </c>
      <c r="S22" s="856">
        <f>SUM(B33:C33)+R22</f>
        <v>72380.638642663296</v>
      </c>
      <c r="Z22" s="1631" t="s">
        <v>4357</v>
      </c>
      <c r="AA22" s="1633">
        <v>22</v>
      </c>
    </row>
    <row r="23" spans="1:27" ht="13.35" customHeight="1">
      <c r="A23" s="17" t="s">
        <v>1127</v>
      </c>
      <c r="B23" s="18">
        <f>-('Part V-Revenues &amp; Expenses'!$Q$238)</f>
        <v>-15000</v>
      </c>
      <c r="C23" s="18">
        <f t="shared" ref="C23:K23" si="6">$B$23*(1+$B$8)^(C14-1)</f>
        <v>-15450</v>
      </c>
      <c r="D23" s="18">
        <f t="shared" si="6"/>
        <v>-15913.5</v>
      </c>
      <c r="E23" s="18">
        <f t="shared" si="6"/>
        <v>-16390.904999999999</v>
      </c>
      <c r="F23" s="18">
        <f t="shared" si="6"/>
        <v>-16882.632149999998</v>
      </c>
      <c r="G23" s="18">
        <f t="shared" si="6"/>
        <v>-17389.111114499996</v>
      </c>
      <c r="H23" s="18">
        <f t="shared" si="6"/>
        <v>-17910.784447934999</v>
      </c>
      <c r="I23" s="18">
        <f t="shared" si="6"/>
        <v>-18448.10798137305</v>
      </c>
      <c r="J23" s="18">
        <f t="shared" si="6"/>
        <v>-19001.551220814239</v>
      </c>
      <c r="K23" s="19">
        <f t="shared" si="6"/>
        <v>-19571.597757438667</v>
      </c>
      <c r="N23" s="3488"/>
      <c r="O23" s="3490"/>
      <c r="Q23" s="47">
        <v>3</v>
      </c>
      <c r="R23" s="856">
        <f>-SUM(B32:D32)</f>
        <v>53969.19</v>
      </c>
      <c r="S23" s="856">
        <f>SUM(B33:D33)+R23</f>
        <v>110526.57522399501</v>
      </c>
      <c r="Z23" s="1631" t="s">
        <v>4357</v>
      </c>
      <c r="AA23" s="1633">
        <v>23</v>
      </c>
    </row>
    <row r="24" spans="1:27" ht="13.35" customHeight="1">
      <c r="A24" s="340" t="s">
        <v>3712</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8"/>
      <c r="O24" s="3490"/>
      <c r="Q24" s="92">
        <v>4</v>
      </c>
      <c r="R24" s="856">
        <f>-SUM(B32:E32)</f>
        <v>71958.92</v>
      </c>
      <c r="S24" s="856">
        <f>SUM(B33:E33)+R24</f>
        <v>149921.8627815267</v>
      </c>
      <c r="Z24" s="1631" t="s">
        <v>4357</v>
      </c>
      <c r="AA24" s="1633">
        <v>24</v>
      </c>
    </row>
    <row r="25" spans="1:27" ht="13.35" customHeight="1">
      <c r="A25" s="17" t="s">
        <v>1128</v>
      </c>
      <c r="B25" s="18">
        <f>SUM(B20:B24)</f>
        <v>233495.19999999995</v>
      </c>
      <c r="C25" s="18">
        <f t="shared" ref="C25:J25" si="7">SUM(C20:C24)</f>
        <v>235267.60399999999</v>
      </c>
      <c r="D25" s="18">
        <f t="shared" si="7"/>
        <v>236988.89168000006</v>
      </c>
      <c r="E25" s="18">
        <f t="shared" si="7"/>
        <v>238654.69298160003</v>
      </c>
      <c r="F25" s="18">
        <f t="shared" si="7"/>
        <v>240261.49221327194</v>
      </c>
      <c r="G25" s="18">
        <f t="shared" si="7"/>
        <v>241805.62279073868</v>
      </c>
      <c r="H25" s="18">
        <f t="shared" si="7"/>
        <v>243283.26180175081</v>
      </c>
      <c r="I25" s="18">
        <f t="shared" si="7"/>
        <v>244689.42438963879</v>
      </c>
      <c r="J25" s="18">
        <f t="shared" si="7"/>
        <v>246018.95794984035</v>
      </c>
      <c r="K25" s="1156">
        <f>SUM(K20:K24)</f>
        <v>247269.53613341803</v>
      </c>
      <c r="N25" s="3488"/>
      <c r="O25" s="3490"/>
      <c r="Q25" s="92">
        <v>5</v>
      </c>
      <c r="R25" s="856">
        <f>-SUM(B32:F32)</f>
        <v>89948.65</v>
      </c>
      <c r="S25" s="856">
        <f>SUM(B33:F33)+R25</f>
        <v>190522.24976281231</v>
      </c>
      <c r="Z25" s="1631" t="s">
        <v>4357</v>
      </c>
      <c r="AA25" s="1633">
        <v>25</v>
      </c>
    </row>
    <row r="26" spans="1:27" ht="13.35" customHeight="1">
      <c r="A26" s="340" t="s">
        <v>1484</v>
      </c>
      <c r="B26" s="341">
        <f>IF('Part II-Sources of Funds'!$P$40="", 0,-'Part II-Sources of Funds'!$P$40)</f>
        <v>-178627.64290489111</v>
      </c>
      <c r="C26" s="341">
        <f>IF('Part II-Sources of Funds'!$P$40="", 0,-'Part II-Sources of Funds'!$P$40)</f>
        <v>-178627.64290489111</v>
      </c>
      <c r="D26" s="341">
        <f>IF('Part II-Sources of Funds'!$P$40="", 0,-'Part II-Sources of Funds'!$P$40)</f>
        <v>-178627.64290489111</v>
      </c>
      <c r="E26" s="341">
        <f>IF('Part II-Sources of Funds'!$P$40="", 0,-'Part II-Sources of Funds'!$P$40)</f>
        <v>-178627.64290489111</v>
      </c>
      <c r="F26" s="341">
        <f>IF('Part II-Sources of Funds'!$P$40="", 0,-'Part II-Sources of Funds'!$P$40)</f>
        <v>-178627.64290489111</v>
      </c>
      <c r="G26" s="341">
        <f>IF('Part II-Sources of Funds'!$P$40="", 0,-'Part II-Sources of Funds'!$P$40)</f>
        <v>-178627.64290489111</v>
      </c>
      <c r="H26" s="341">
        <f>IF('Part II-Sources of Funds'!$P$40="", 0,-'Part II-Sources of Funds'!$P$40)</f>
        <v>-178627.64290489111</v>
      </c>
      <c r="I26" s="341">
        <f>IF('Part II-Sources of Funds'!$P$40="", 0,-'Part II-Sources of Funds'!$P$40)</f>
        <v>-178627.64290489111</v>
      </c>
      <c r="J26" s="341">
        <f>IF('Part II-Sources of Funds'!$P$40="", 0,-'Part II-Sources of Funds'!$P$40)</f>
        <v>-178627.64290489111</v>
      </c>
      <c r="K26" s="341">
        <f>IF('Part II-Sources of Funds'!$P$40="", 0,-'Part II-Sources of Funds'!$P$40)</f>
        <v>-178627.64290489111</v>
      </c>
      <c r="N26" s="3488"/>
      <c r="O26" s="3490"/>
      <c r="Q26" s="92">
        <v>6</v>
      </c>
      <c r="R26" s="856">
        <f>-SUM(B32:G32)</f>
        <v>107938.37999999999</v>
      </c>
      <c r="S26" s="856">
        <f>SUM(B33:G33)+R26</f>
        <v>232280.73467719799</v>
      </c>
      <c r="Z26" s="1631" t="s">
        <v>4357</v>
      </c>
      <c r="AA26" s="1633">
        <v>26</v>
      </c>
    </row>
    <row r="27" spans="1:27" ht="13.35" customHeight="1">
      <c r="A27" s="340" t="s">
        <v>1485</v>
      </c>
      <c r="B27" s="178">
        <f>-0.25*(B25+B26+B31)</f>
        <v>-11841.889273777211</v>
      </c>
      <c r="C27" s="178">
        <f t="shared" ref="C27:K27" si="8">-0.25*(C25+C26+C31)</f>
        <v>-12284.990273777221</v>
      </c>
      <c r="D27" s="178">
        <f t="shared" si="8"/>
        <v>-12715.312193777238</v>
      </c>
      <c r="E27" s="178">
        <f t="shared" si="8"/>
        <v>-13131.762519177231</v>
      </c>
      <c r="F27" s="178">
        <f t="shared" si="8"/>
        <v>-13533.462327095207</v>
      </c>
      <c r="G27" s="178">
        <f t="shared" si="8"/>
        <v>-13919.494971461892</v>
      </c>
      <c r="H27" s="178">
        <f t="shared" si="8"/>
        <v>-14288.904724214924</v>
      </c>
      <c r="I27" s="178">
        <f t="shared" si="8"/>
        <v>-14640.445371186921</v>
      </c>
      <c r="J27" s="178">
        <f t="shared" si="8"/>
        <v>-14972.82876123731</v>
      </c>
      <c r="K27" s="178">
        <f t="shared" si="8"/>
        <v>-15285.473307131731</v>
      </c>
      <c r="N27" s="3488"/>
      <c r="O27" s="3490"/>
      <c r="Q27" s="92">
        <v>7</v>
      </c>
      <c r="R27" s="856">
        <f>-SUM(B32:H32)</f>
        <v>125928.10999999999</v>
      </c>
      <c r="S27" s="856">
        <f>SUM(B33:H33)+R27</f>
        <v>275147.44884984277</v>
      </c>
      <c r="Z27" s="1631" t="s">
        <v>4357</v>
      </c>
      <c r="AA27" s="1633">
        <v>27</v>
      </c>
    </row>
    <row r="28" spans="1:27" ht="13.35" customHeight="1">
      <c r="A28" s="340" t="s">
        <v>1486</v>
      </c>
      <c r="B28" s="178">
        <v>0</v>
      </c>
      <c r="C28" s="178">
        <v>0</v>
      </c>
      <c r="D28" s="178">
        <v>0</v>
      </c>
      <c r="E28" s="178">
        <v>0</v>
      </c>
      <c r="F28" s="178">
        <v>0</v>
      </c>
      <c r="G28" s="178">
        <v>0</v>
      </c>
      <c r="H28" s="178">
        <v>0</v>
      </c>
      <c r="I28" s="178">
        <v>0</v>
      </c>
      <c r="J28" s="178">
        <v>0</v>
      </c>
      <c r="K28" s="178">
        <v>0</v>
      </c>
      <c r="N28" s="3488"/>
      <c r="O28" s="3490"/>
      <c r="Q28" s="92">
        <v>8</v>
      </c>
      <c r="R28" s="856">
        <f>-SUM(B32:I32)</f>
        <v>143917.84</v>
      </c>
      <c r="S28" s="856">
        <f>SUM(B33:I33)+R28</f>
        <v>319068.78496340348</v>
      </c>
      <c r="Z28" s="1631" t="s">
        <v>4357</v>
      </c>
      <c r="AA28" s="1633">
        <v>28</v>
      </c>
    </row>
    <row r="29" spans="1:27" ht="13.35" customHeight="1">
      <c r="A29" s="340" t="s">
        <v>3201</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8"/>
      <c r="O29" s="3490"/>
      <c r="Q29" s="92">
        <v>9</v>
      </c>
      <c r="R29" s="856">
        <f>-SUM(B32:J32)</f>
        <v>161907.57</v>
      </c>
      <c r="S29" s="856">
        <f>SUM(B33:J33)+R29</f>
        <v>363987.27124711545</v>
      </c>
      <c r="Z29" s="1631" t="s">
        <v>4357</v>
      </c>
      <c r="AA29" s="1633">
        <v>29</v>
      </c>
    </row>
    <row r="30" spans="1:27" ht="13.35" customHeight="1">
      <c r="A30" s="17" t="s">
        <v>710</v>
      </c>
      <c r="B30" s="138"/>
      <c r="C30" s="138"/>
      <c r="D30" s="138"/>
      <c r="E30" s="138"/>
      <c r="F30" s="138"/>
      <c r="G30" s="138"/>
      <c r="H30" s="138"/>
      <c r="I30" s="138"/>
      <c r="J30" s="138"/>
      <c r="K30" s="138"/>
      <c r="N30" s="3488"/>
      <c r="O30" s="3490"/>
      <c r="Q30" s="92">
        <v>10</v>
      </c>
      <c r="R30" s="856">
        <f>-SUM(B32:K32)</f>
        <v>179897.30000000002</v>
      </c>
      <c r="S30" s="856">
        <f>SUM(B33:K33)+R30</f>
        <v>409843.69116851065</v>
      </c>
      <c r="Z30" s="1631" t="s">
        <v>4357</v>
      </c>
      <c r="AA30" s="1633">
        <v>30</v>
      </c>
    </row>
    <row r="31" spans="1:27" ht="13.35" customHeight="1">
      <c r="A31" s="340" t="s">
        <v>1094</v>
      </c>
      <c r="B31" s="894">
        <f>-$G$6</f>
        <v>-7500</v>
      </c>
      <c r="C31" s="894">
        <f t="shared" ref="C31:K31" si="9">+B31</f>
        <v>-7500</v>
      </c>
      <c r="D31" s="894">
        <f t="shared" si="9"/>
        <v>-7500</v>
      </c>
      <c r="E31" s="894">
        <f>+D31</f>
        <v>-7500</v>
      </c>
      <c r="F31" s="894">
        <f t="shared" si="9"/>
        <v>-7500</v>
      </c>
      <c r="G31" s="894">
        <f t="shared" si="9"/>
        <v>-7500</v>
      </c>
      <c r="H31" s="894">
        <f t="shared" si="9"/>
        <v>-7500</v>
      </c>
      <c r="I31" s="894">
        <f t="shared" si="9"/>
        <v>-7500</v>
      </c>
      <c r="J31" s="894">
        <f t="shared" si="9"/>
        <v>-7500</v>
      </c>
      <c r="K31" s="894">
        <f t="shared" si="9"/>
        <v>-7500</v>
      </c>
      <c r="N31" s="3488"/>
      <c r="O31" s="3490"/>
      <c r="Q31" s="92">
        <v>11</v>
      </c>
      <c r="R31" s="856">
        <f>-SUM(B32:K32)-B64</f>
        <v>197887.03000000003</v>
      </c>
      <c r="S31" s="856">
        <f>SUM(B33:K33)+B65+R31</f>
        <v>456573.19847839617</v>
      </c>
      <c r="Z31" s="1631" t="s">
        <v>4357</v>
      </c>
      <c r="AA31" s="1633">
        <v>31</v>
      </c>
    </row>
    <row r="32" spans="1:27" ht="13.35" customHeight="1">
      <c r="A32" s="340" t="s">
        <v>3274</v>
      </c>
      <c r="B32" s="179">
        <v>-17989.73</v>
      </c>
      <c r="C32" s="179">
        <v>-17989.73</v>
      </c>
      <c r="D32" s="179">
        <v>-17989.73</v>
      </c>
      <c r="E32" s="179">
        <v>-17989.73</v>
      </c>
      <c r="F32" s="179">
        <v>-17989.73</v>
      </c>
      <c r="G32" s="179">
        <v>-17989.73</v>
      </c>
      <c r="H32" s="179">
        <v>-17989.73</v>
      </c>
      <c r="I32" s="179">
        <v>-17989.73</v>
      </c>
      <c r="J32" s="179">
        <v>-17989.73</v>
      </c>
      <c r="K32" s="179">
        <v>-17989.73</v>
      </c>
      <c r="N32" s="3488"/>
      <c r="O32" s="3490"/>
      <c r="Q32" s="92">
        <v>12</v>
      </c>
      <c r="R32" s="856">
        <f>-SUM(B32:K32) - SUM(B64:C64)</f>
        <v>215876.76</v>
      </c>
      <c r="S32" s="856">
        <f>SUM(B33:K33) + SUM(B65:C65)+R32</f>
        <v>504108.92745493603</v>
      </c>
      <c r="Z32" s="1631" t="s">
        <v>4357</v>
      </c>
      <c r="AA32" s="1633">
        <v>32</v>
      </c>
    </row>
    <row r="33" spans="1:27" ht="13.35" customHeight="1">
      <c r="A33" s="17" t="s">
        <v>1095</v>
      </c>
      <c r="B33" s="18">
        <f t="shared" ref="B33:K33" si="10">SUM(B25:B32)</f>
        <v>17535.937821331634</v>
      </c>
      <c r="C33" s="18">
        <f t="shared" si="10"/>
        <v>18865.240821331663</v>
      </c>
      <c r="D33" s="18">
        <f t="shared" si="10"/>
        <v>20156.206581331713</v>
      </c>
      <c r="E33" s="18">
        <f t="shared" si="10"/>
        <v>21405.557557531694</v>
      </c>
      <c r="F33" s="18">
        <f t="shared" si="10"/>
        <v>22610.656981285621</v>
      </c>
      <c r="G33" s="18">
        <f t="shared" si="10"/>
        <v>23768.754914385678</v>
      </c>
      <c r="H33" s="18">
        <f t="shared" si="10"/>
        <v>24876.984172644774</v>
      </c>
      <c r="I33" s="18">
        <f t="shared" si="10"/>
        <v>25931.606113560763</v>
      </c>
      <c r="J33" s="18">
        <f t="shared" si="10"/>
        <v>26928.756283711929</v>
      </c>
      <c r="K33" s="19">
        <f t="shared" si="10"/>
        <v>27866.689921395195</v>
      </c>
      <c r="N33" s="3488"/>
      <c r="O33" s="3490"/>
      <c r="Q33" s="92">
        <v>13</v>
      </c>
      <c r="R33" s="856">
        <f>-SUM(B32:K32) - SUM(B64:D64)</f>
        <v>233866.49000000002</v>
      </c>
      <c r="S33" s="856">
        <f>SUM(B33:K33) + SUM(B65:D65)+R33</f>
        <v>552379.59818777011</v>
      </c>
      <c r="Z33" s="1631" t="s">
        <v>4357</v>
      </c>
      <c r="AA33" s="1633">
        <v>33</v>
      </c>
    </row>
    <row r="34" spans="1:27" ht="13.35" customHeight="1">
      <c r="A34" s="17" t="str">
        <f>IF('Part II-Sources of Funds'!$E$40 = "Neither", "", "DCR Mortgage A")</f>
        <v>DCR Mortgage A</v>
      </c>
      <c r="B34" s="20">
        <f t="shared" ref="B34:K34" si="11">IF(B26=0,"",-B25/B26)</f>
        <v>1.3071616251708738</v>
      </c>
      <c r="C34" s="20">
        <f t="shared" si="11"/>
        <v>1.3170839640159524</v>
      </c>
      <c r="D34" s="20">
        <f t="shared" si="11"/>
        <v>1.3267201415526875</v>
      </c>
      <c r="E34" s="20">
        <f t="shared" si="11"/>
        <v>1.3360456931555094</v>
      </c>
      <c r="F34" s="20">
        <f t="shared" si="11"/>
        <v>1.3450409371476579</v>
      </c>
      <c r="G34" s="20">
        <f t="shared" si="11"/>
        <v>1.3536853471189014</v>
      </c>
      <c r="H34" s="20">
        <f t="shared" si="11"/>
        <v>1.361957521497863</v>
      </c>
      <c r="I34" s="20">
        <f t="shared" si="11"/>
        <v>1.3698295538721392</v>
      </c>
      <c r="J34" s="20">
        <f t="shared" si="11"/>
        <v>1.3772725987367544</v>
      </c>
      <c r="K34" s="21">
        <f t="shared" si="11"/>
        <v>1.3842736326374454</v>
      </c>
      <c r="N34" s="3488"/>
      <c r="O34" s="3490"/>
      <c r="Q34" s="92">
        <v>14</v>
      </c>
      <c r="R34" s="856">
        <f>-SUM(B32:K32) - SUM(B64:E64)</f>
        <v>251856.22000000003</v>
      </c>
      <c r="S34" s="856">
        <f>SUM(B33:K33) + SUM(B65:E65)+R34</f>
        <v>601308.61673801998</v>
      </c>
      <c r="Z34" s="1631" t="s">
        <v>4357</v>
      </c>
      <c r="AA34" s="1633">
        <v>34</v>
      </c>
    </row>
    <row r="35" spans="1:27" ht="13.35" customHeight="1">
      <c r="A35" s="17" t="str">
        <f>IF('Part II-Sources of Funds'!$E$40 = "Neither", "", "DCR Mortgage B")</f>
        <v>DCR Mortgage B</v>
      </c>
      <c r="B35" s="20">
        <f t="shared" ref="B35:K35" si="12">IF(B27=0,"",-(B25+B26)/B27)</f>
        <v>4.6333448849760881</v>
      </c>
      <c r="C35" s="20">
        <f t="shared" si="12"/>
        <v>4.6105010938436832</v>
      </c>
      <c r="D35" s="20">
        <f t="shared" si="12"/>
        <v>4.5898400201035123</v>
      </c>
      <c r="E35" s="20">
        <f t="shared" si="12"/>
        <v>4.5711343004449878</v>
      </c>
      <c r="F35" s="20">
        <f t="shared" si="12"/>
        <v>4.5541819099007892</v>
      </c>
      <c r="G35" s="20">
        <f t="shared" si="12"/>
        <v>4.5388126519946805</v>
      </c>
      <c r="H35" s="20">
        <f t="shared" si="12"/>
        <v>4.5248827775644695</v>
      </c>
      <c r="I35" s="20">
        <f t="shared" si="12"/>
        <v>4.5122794976415372</v>
      </c>
      <c r="J35" s="20">
        <f t="shared" si="12"/>
        <v>4.5009073515497962</v>
      </c>
      <c r="K35" s="21">
        <f t="shared" si="12"/>
        <v>4.4906619408704032</v>
      </c>
      <c r="N35" s="3488"/>
      <c r="O35" s="3490"/>
      <c r="Q35" s="92">
        <v>15</v>
      </c>
      <c r="R35" s="856">
        <f>-SUM(B32:K32) - SUM(B64:F64)</f>
        <v>269845.95</v>
      </c>
      <c r="S35" s="856">
        <f>SUM(B33:K33) + SUM(B65:F65)+R35</f>
        <v>650816.92000480951</v>
      </c>
      <c r="Z35" s="1631" t="s">
        <v>4357</v>
      </c>
      <c r="AA35" s="1633">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488"/>
      <c r="O36" s="3490"/>
      <c r="Q36" s="47">
        <v>16</v>
      </c>
      <c r="R36" s="856">
        <f>-SUM(B32:K32) - SUM(B64:G64)</f>
        <v>269845.95</v>
      </c>
      <c r="S36" s="856">
        <f>SUM(B33:K33) + SUM(B65:G65)+R36</f>
        <v>706445.56512352801</v>
      </c>
      <c r="Z36" s="1631" t="s">
        <v>4357</v>
      </c>
      <c r="AA36" s="1633">
        <v>36</v>
      </c>
    </row>
    <row r="37" spans="1:27" ht="13.35" customHeight="1">
      <c r="A37" s="17" t="s">
        <v>728</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488"/>
      <c r="O37" s="3490"/>
      <c r="Q37" s="47">
        <v>17</v>
      </c>
      <c r="R37" s="856">
        <f>-SUM(B32:K32) - SUM(B64:H64)</f>
        <v>269845.95</v>
      </c>
      <c r="S37" s="856">
        <f>SUM(B33:K33) + SUM(B65:H65)+R37</f>
        <v>762480.56321550533</v>
      </c>
      <c r="Z37" s="1631" t="s">
        <v>4357</v>
      </c>
      <c r="AA37" s="1633">
        <v>37</v>
      </c>
    </row>
    <row r="38" spans="1:27" ht="13.35" customHeight="1">
      <c r="A38" s="340" t="s">
        <v>3130</v>
      </c>
      <c r="B38" s="20">
        <f t="shared" ref="B38:K38" si="15">IF(AND(B26=0,B27=0,B28=0,B29=0),"",-B25/(B26+B27+B28+B29))</f>
        <v>1.225892652379551</v>
      </c>
      <c r="C38" s="20">
        <f t="shared" si="15"/>
        <v>1.2323312505978661</v>
      </c>
      <c r="D38" s="20">
        <f t="shared" si="15"/>
        <v>1.2385556163162308</v>
      </c>
      <c r="E38" s="20">
        <f t="shared" si="15"/>
        <v>1.2445527376027508</v>
      </c>
      <c r="F38" s="20">
        <f t="shared" si="15"/>
        <v>1.250312813944406</v>
      </c>
      <c r="G38" s="20">
        <f t="shared" si="15"/>
        <v>1.2558255887761767</v>
      </c>
      <c r="H38" s="20">
        <f t="shared" si="15"/>
        <v>1.2610803209555559</v>
      </c>
      <c r="I38" s="20">
        <f t="shared" si="15"/>
        <v>1.2660622173698268</v>
      </c>
      <c r="J38" s="20">
        <f t="shared" si="15"/>
        <v>1.2707559843868028</v>
      </c>
      <c r="K38" s="21">
        <f t="shared" si="15"/>
        <v>1.2751563223967572</v>
      </c>
      <c r="N38" s="3488"/>
      <c r="O38" s="3490"/>
      <c r="Q38" s="47">
        <v>18</v>
      </c>
      <c r="R38" s="856">
        <f>-SUM(B32:K32) - SUM(B64:I64)</f>
        <v>269845.95</v>
      </c>
      <c r="S38" s="856">
        <f>SUM(B33:K33) + SUM(B65:I65)+R38</f>
        <v>818828.45730302553</v>
      </c>
      <c r="Z38" s="1631" t="s">
        <v>4357</v>
      </c>
      <c r="AA38" s="1633">
        <v>38</v>
      </c>
    </row>
    <row r="39" spans="1:27" ht="13.35" customHeight="1">
      <c r="A39" s="17" t="s">
        <v>717</v>
      </c>
      <c r="B39" s="220">
        <f t="shared" ref="B39:K39" si="16">IF(OR(B22="Choose mgt fee",B22="Choose One!"),"",(B15+B16+B17+B18+B19) / -(B21+B22+B23))</f>
        <v>1.7225665099784306</v>
      </c>
      <c r="C39" s="220">
        <f t="shared" si="16"/>
        <v>1.7075559091249206</v>
      </c>
      <c r="D39" s="220">
        <f t="shared" si="16"/>
        <v>1.6926630811053791</v>
      </c>
      <c r="E39" s="220">
        <f t="shared" si="16"/>
        <v>1.6778836988784114</v>
      </c>
      <c r="F39" s="220">
        <f t="shared" si="16"/>
        <v>1.6632185765170828</v>
      </c>
      <c r="G39" s="220">
        <f t="shared" si="16"/>
        <v>1.6486683531415589</v>
      </c>
      <c r="H39" s="220">
        <f t="shared" si="16"/>
        <v>1.63423350656021</v>
      </c>
      <c r="I39" s="220">
        <f t="shared" si="16"/>
        <v>1.6199102620946155</v>
      </c>
      <c r="J39" s="220">
        <f t="shared" si="16"/>
        <v>1.6056953115624002</v>
      </c>
      <c r="K39" s="221">
        <f t="shared" si="16"/>
        <v>1.5915971935374083</v>
      </c>
      <c r="N39" s="3488"/>
      <c r="O39" s="3490"/>
      <c r="Q39" s="92">
        <v>19</v>
      </c>
      <c r="R39" s="856">
        <f>-SUM(B32:K32) - SUM(B64:J64)</f>
        <v>269845.95</v>
      </c>
      <c r="S39" s="856">
        <f>SUM(B33:K33) + SUM(B65:J65)+R39</f>
        <v>875391.14419770334</v>
      </c>
      <c r="Z39" s="1631" t="s">
        <v>4357</v>
      </c>
      <c r="AA39" s="1633">
        <v>39</v>
      </c>
    </row>
    <row r="40" spans="1:27" ht="13.35" customHeight="1">
      <c r="A40" s="340" t="s">
        <v>2399</v>
      </c>
      <c r="B40" s="177">
        <f>IF('Part II-Sources of Funds'!$I$40="","",-FV('Part II-Sources of Funds'!$K$40/12,12,B26/12,'Part II-Sources of Funds'!$I$40))</f>
        <v>2191577.3501094398</v>
      </c>
      <c r="C40" s="177">
        <f>IF('Part II-Sources of Funds'!$I$40="","",-FV('Part II-Sources of Funds'!$K$40/12,12,C26/12,B40))</f>
        <v>2182478.2519569783</v>
      </c>
      <c r="D40" s="177">
        <f>IF('Part II-Sources of Funds'!$I$40="","",-FV('Part II-Sources of Funds'!$K$40/12,12,D26/12,C40))</f>
        <v>2172648.3779548639</v>
      </c>
      <c r="E40" s="177">
        <f>IF('Part II-Sources of Funds'!$I$40="","",-FV('Part II-Sources of Funds'!$K$40/12,12,E26/12,D40))</f>
        <v>2162029.0373039111</v>
      </c>
      <c r="F40" s="177">
        <f>IF('Part II-Sources of Funds'!$I$40="","",-FV('Part II-Sources of Funds'!$K$40/12,12,F26/12,E40))</f>
        <v>2150556.8255709098</v>
      </c>
      <c r="G40" s="177">
        <f>IF('Part II-Sources of Funds'!$I$40="","",-FV('Part II-Sources of Funds'!$K$40/12,12,G26/12,F40))</f>
        <v>2138163.2461225474</v>
      </c>
      <c r="H40" s="177">
        <f>IF('Part II-Sources of Funds'!$I$40="","",-FV('Part II-Sources of Funds'!$K$40/12,12,H26/12,G40))</f>
        <v>2124774.3011555518</v>
      </c>
      <c r="I40" s="177">
        <f>IF('Part II-Sources of Funds'!$I$40="","",-FV('Part II-Sources of Funds'!$K$40/12,12,I26/12,H40))</f>
        <v>2110310.0498812422</v>
      </c>
      <c r="J40" s="177">
        <f>IF('Part II-Sources of Funds'!$I$40="","",-FV('Part II-Sources of Funds'!$K$40/12,12,J26/12,I40))</f>
        <v>2094684.1312265543</v>
      </c>
      <c r="K40" s="177">
        <f>IF('Part II-Sources of Funds'!$I$40="","",-FV('Part II-Sources of Funds'!$K$40/12,12,K26/12,J40))</f>
        <v>2077803.2482017551</v>
      </c>
      <c r="N40" s="3488"/>
      <c r="O40" s="3490"/>
      <c r="Q40" s="92">
        <v>20</v>
      </c>
      <c r="R40" s="856">
        <f>-SUM(B32:K32) - SUM(B64:K64)</f>
        <v>269845.95</v>
      </c>
      <c r="S40" s="856">
        <f>SUM(B33:K33) + SUM(B65:K65)+R40</f>
        <v>932064.94016413717</v>
      </c>
      <c r="Z40" s="1631" t="s">
        <v>4357</v>
      </c>
      <c r="AA40" s="1633">
        <v>40</v>
      </c>
    </row>
    <row r="41" spans="1:27" ht="13.35" customHeight="1">
      <c r="A41" s="340" t="s">
        <v>2400</v>
      </c>
      <c r="B41" s="178">
        <f>IF('Part II-Sources of Funds'!$I$41="","",-FV('Part II-Sources of Funds'!$K$41/12,12,B27/12,'Part II-Sources of Funds'!$I$41))</f>
        <v>508309.35045742028</v>
      </c>
      <c r="C41" s="178">
        <f>IF('Part II-Sources of Funds'!$I$41="","",-FV('Part II-Sources of Funds'!$K$41/12,12,C27/12,B41))</f>
        <v>516505.92121290456</v>
      </c>
      <c r="D41" s="178">
        <f>IF('Part II-Sources of Funds'!$I$41="","",-FV('Part II-Sources of Funds'!$K$41/12,12,D27/12,C41))</f>
        <v>524598.13343329332</v>
      </c>
      <c r="E41" s="178">
        <f>IF('Part II-Sources of Funds'!$I$41="","",-FV('Part II-Sources of Funds'!$K$41/12,12,E27/12,D41))</f>
        <v>532595.86414501909</v>
      </c>
      <c r="F41" s="178">
        <f>IF('Part II-Sources of Funds'!$I$41="","",-FV('Part II-Sources of Funds'!$K$41/12,12,F27/12,E41))</f>
        <v>540510.28799666848</v>
      </c>
      <c r="G41" s="178">
        <f>IF('Part II-Sources of Funds'!$I$41="","",-FV('Part II-Sources of Funds'!$K$41/12,12,G27/12,F41))</f>
        <v>548353.96854863258</v>
      </c>
      <c r="H41" s="178">
        <f>IF('Part II-Sources of Funds'!$I$41="","",-FV('Part II-Sources of Funds'!$K$41/12,12,H27/12,G41))</f>
        <v>556140.9546660342</v>
      </c>
      <c r="I41" s="178">
        <f>IF('Part II-Sources of Funds'!$I$41="","",-FV('Part II-Sources of Funds'!$K$41/12,12,I27/12,H41))</f>
        <v>563887.13690363732</v>
      </c>
      <c r="J41" s="178">
        <f>IF('Part II-Sources of Funds'!$I$41="","",-FV('Part II-Sources of Funds'!$K$41/12,12,J27/12,I41))</f>
        <v>571610.36525354919</v>
      </c>
      <c r="K41" s="178">
        <f>IF('Part II-Sources of Funds'!$I$41="","",-FV('Part II-Sources of Funds'!$K$41/12,12,K27/12,J41))</f>
        <v>579329.80931312835</v>
      </c>
      <c r="N41" s="3488"/>
      <c r="O41" s="3490"/>
      <c r="Z41" s="1631" t="s">
        <v>4357</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8"/>
      <c r="O42" s="3490"/>
      <c r="Z42" s="1631" t="s">
        <v>4357</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8"/>
      <c r="O43" s="3490"/>
      <c r="Z43" s="1631" t="s">
        <v>4357</v>
      </c>
      <c r="AA43" s="1633">
        <v>43</v>
      </c>
    </row>
    <row r="44" spans="1:27" ht="13.35" customHeight="1">
      <c r="A44" s="340" t="s">
        <v>3275</v>
      </c>
      <c r="B44" s="179">
        <f>IF('Part II-Sources of Funds'!$I$45="","",-FV('Part II-Sources of Funds'!$K$45/12,12,B32/12,'Part II-Sources of Funds'!$I$45))</f>
        <v>251856.27</v>
      </c>
      <c r="C44" s="179">
        <f>IF('Part II-Sources of Funds'!$I$45="","",IF(-FV('Part II-Sources of Funds'!$K$45/12,12,C32/12,B44)&gt;0,-FV('Part II-Sources of Funds'!$K$45/12,12,C32/12,B44),0))</f>
        <v>233866.53999999998</v>
      </c>
      <c r="D44" s="179">
        <f>IF('Part II-Sources of Funds'!$I$45="","",IF(-FV('Part II-Sources of Funds'!$K$45/12,12,D32/12,C44)&gt;0,-FV('Part II-Sources of Funds'!$K$45/12,12,D32/12,C44),0))</f>
        <v>215876.80999999997</v>
      </c>
      <c r="E44" s="179">
        <f>IF('Part II-Sources of Funds'!$I$45="","",IF(-FV('Part II-Sources of Funds'!$K$45/12,12,E32/12,D44)&gt;0,-FV('Part II-Sources of Funds'!$K$45/12,12,E32/12,D44),0))</f>
        <v>197887.07999999996</v>
      </c>
      <c r="F44" s="179">
        <f>IF('Part II-Sources of Funds'!$I$45="","",IF(-FV('Part II-Sources of Funds'!$K$45/12,12,F32/12,E44)&gt;0,-FV('Part II-Sources of Funds'!$K$45/12,12,F32/12,E44),0))</f>
        <v>179897.34999999995</v>
      </c>
      <c r="G44" s="179">
        <f>IF('Part II-Sources of Funds'!$I$45="","",IF(-FV('Part II-Sources of Funds'!$K$45/12,12,G32/12,F44)&gt;0,-FV('Part II-Sources of Funds'!$K$45/12,12,G32/12,F44),0))</f>
        <v>161907.61999999994</v>
      </c>
      <c r="H44" s="179">
        <f>IF('Part II-Sources of Funds'!$I$45="","",IF(-FV('Part II-Sources of Funds'!$K$45/12,12,H32/12,G44)&gt;0,-FV('Part II-Sources of Funds'!$K$45/12,12,H32/12,G44),0))</f>
        <v>143917.88999999993</v>
      </c>
      <c r="I44" s="179">
        <f>IF('Part II-Sources of Funds'!$I$45="","",IF(-FV('Part II-Sources of Funds'!$K$45/12,12,I32/12,H44)&gt;0,-FV('Part II-Sources of Funds'!$K$45/12,12,I32/12,H44),0))</f>
        <v>125928.15999999993</v>
      </c>
      <c r="J44" s="179">
        <f>IF('Part II-Sources of Funds'!$I$45="","",IF(-FV('Part II-Sources of Funds'!$K$45/12,12,J32/12,I44)&gt;0,-FV('Part II-Sources of Funds'!$K$45/12,12,J32/12,I44),0))</f>
        <v>107938.42999999993</v>
      </c>
      <c r="K44" s="179">
        <f>IF('Part II-Sources of Funds'!$I$45="","",IF(-FV('Part II-Sources of Funds'!$K$45/12,12,K32/12,J44)&gt;0,-FV('Part II-Sources of Funds'!$K$45/12,12,K32/12,J44),0))</f>
        <v>89948.699999999939</v>
      </c>
      <c r="N44" s="3465"/>
      <c r="O44" s="3467"/>
      <c r="Z44" s="1631" t="s">
        <v>4357</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54" t="s">
        <v>2402</v>
      </c>
      <c r="O46" s="3154"/>
      <c r="AA46" s="1633">
        <v>46</v>
      </c>
    </row>
    <row r="47" spans="1:27" ht="13.35" customHeight="1">
      <c r="A47" s="14" t="s">
        <v>2209</v>
      </c>
      <c r="B47" s="15">
        <f t="shared" ref="B47:K47" si="18">$B$15*(1+$B$6)^(B46-1)</f>
        <v>721083.95920369867</v>
      </c>
      <c r="C47" s="15">
        <f t="shared" si="18"/>
        <v>735505.63838777249</v>
      </c>
      <c r="D47" s="15">
        <f t="shared" si="18"/>
        <v>750215.75115552801</v>
      </c>
      <c r="E47" s="15">
        <f t="shared" si="18"/>
        <v>765220.06617863849</v>
      </c>
      <c r="F47" s="15">
        <f t="shared" si="18"/>
        <v>780524.46750221134</v>
      </c>
      <c r="G47" s="15">
        <f t="shared" si="18"/>
        <v>796134.95685225539</v>
      </c>
      <c r="H47" s="15">
        <f t="shared" si="18"/>
        <v>812057.65598930069</v>
      </c>
      <c r="I47" s="15">
        <f t="shared" si="18"/>
        <v>828298.80910908675</v>
      </c>
      <c r="J47" s="15">
        <f t="shared" si="18"/>
        <v>844864.78529126837</v>
      </c>
      <c r="K47" s="16">
        <f t="shared" si="18"/>
        <v>861762.0809970937</v>
      </c>
      <c r="N47" s="3508"/>
      <c r="O47" s="3510"/>
      <c r="Z47" s="1631" t="s">
        <v>4358</v>
      </c>
      <c r="AA47" s="1633">
        <v>47</v>
      </c>
    </row>
    <row r="48" spans="1:27" ht="13.35" customHeight="1">
      <c r="A48" s="17" t="s">
        <v>951</v>
      </c>
      <c r="B48" s="18">
        <f t="shared" ref="B48:K48" si="19">$B$16*(1+$B$6)^(B46-1)</f>
        <v>8532.9609399632991</v>
      </c>
      <c r="C48" s="18">
        <f t="shared" si="19"/>
        <v>8703.6201587625637</v>
      </c>
      <c r="D48" s="18">
        <f t="shared" si="19"/>
        <v>8877.6925619378162</v>
      </c>
      <c r="E48" s="18">
        <f t="shared" si="19"/>
        <v>9055.2464131765719</v>
      </c>
      <c r="F48" s="18">
        <f t="shared" si="19"/>
        <v>9236.3513414401059</v>
      </c>
      <c r="G48" s="18">
        <f t="shared" si="19"/>
        <v>9421.0783682689053</v>
      </c>
      <c r="H48" s="18">
        <f t="shared" si="19"/>
        <v>9609.4999356342851</v>
      </c>
      <c r="I48" s="18">
        <f t="shared" si="19"/>
        <v>9801.6899343469704</v>
      </c>
      <c r="J48" s="18">
        <f t="shared" si="19"/>
        <v>9997.7237330339085</v>
      </c>
      <c r="K48" s="19">
        <f t="shared" si="19"/>
        <v>10197.678207694587</v>
      </c>
      <c r="N48" s="3488"/>
      <c r="O48" s="3490"/>
      <c r="Z48" s="1631" t="s">
        <v>4358</v>
      </c>
      <c r="AA48" s="1633">
        <v>48</v>
      </c>
    </row>
    <row r="49" spans="1:27" ht="13.35" customHeight="1">
      <c r="A49" s="17" t="s">
        <v>2210</v>
      </c>
      <c r="B49" s="18">
        <f t="shared" ref="B49:K49" si="20">-(B47+B48)*$B$9</f>
        <v>-51073.184410056347</v>
      </c>
      <c r="C49" s="18">
        <f t="shared" si="20"/>
        <v>-52094.648098257458</v>
      </c>
      <c r="D49" s="18">
        <f t="shared" si="20"/>
        <v>-53136.541060222611</v>
      </c>
      <c r="E49" s="18">
        <f t="shared" si="20"/>
        <v>-54199.271881427056</v>
      </c>
      <c r="F49" s="18">
        <f t="shared" si="20"/>
        <v>-55283.257319055607</v>
      </c>
      <c r="G49" s="18">
        <f t="shared" si="20"/>
        <v>-56388.922465436706</v>
      </c>
      <c r="H49" s="18">
        <f t="shared" si="20"/>
        <v>-57516.700914745459</v>
      </c>
      <c r="I49" s="18">
        <f t="shared" si="20"/>
        <v>-58667.034933040362</v>
      </c>
      <c r="J49" s="18">
        <f t="shared" si="20"/>
        <v>-59840.375631701165</v>
      </c>
      <c r="K49" s="19">
        <f t="shared" si="20"/>
        <v>-61037.183144335184</v>
      </c>
      <c r="N49" s="3488"/>
      <c r="O49" s="3490"/>
      <c r="Z49" s="1631" t="s">
        <v>4358</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8"/>
      <c r="O50" s="3490"/>
      <c r="Z50" s="1631" t="s">
        <v>4358</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8"/>
      <c r="O51" s="3490"/>
      <c r="Z51" s="1631" t="s">
        <v>4358</v>
      </c>
      <c r="AA51" s="1633">
        <v>51</v>
      </c>
    </row>
    <row r="52" spans="1:27" ht="13.35" customHeight="1">
      <c r="A52" s="340" t="s">
        <v>3713</v>
      </c>
      <c r="B52" s="18">
        <f t="shared" ref="B52:K52" si="21">SUM(B47:B51)</f>
        <v>678543.73573360569</v>
      </c>
      <c r="C52" s="18">
        <f t="shared" si="21"/>
        <v>692114.61044827756</v>
      </c>
      <c r="D52" s="18">
        <f t="shared" si="21"/>
        <v>705956.90265724319</v>
      </c>
      <c r="E52" s="18">
        <f t="shared" si="21"/>
        <v>720076.04071038798</v>
      </c>
      <c r="F52" s="18">
        <f t="shared" si="21"/>
        <v>734477.56152459583</v>
      </c>
      <c r="G52" s="18">
        <f t="shared" si="21"/>
        <v>749167.11275508755</v>
      </c>
      <c r="H52" s="18">
        <f t="shared" si="21"/>
        <v>764150.45501018956</v>
      </c>
      <c r="I52" s="18">
        <f t="shared" si="21"/>
        <v>779433.46411039331</v>
      </c>
      <c r="J52" s="18">
        <f t="shared" si="21"/>
        <v>795022.13339260104</v>
      </c>
      <c r="K52" s="19">
        <f t="shared" si="21"/>
        <v>810922.57606045308</v>
      </c>
      <c r="N52" s="3488"/>
      <c r="O52" s="3490"/>
      <c r="Z52" s="1631" t="s">
        <v>4358</v>
      </c>
      <c r="AA52" s="1633">
        <v>52</v>
      </c>
    </row>
    <row r="53" spans="1:27" ht="13.35" customHeight="1">
      <c r="A53" s="17" t="s">
        <v>571</v>
      </c>
      <c r="B53" s="18">
        <f t="shared" ref="B53:K53" si="22">$B$21*(1+$B$7)^(B46-1)</f>
        <v>-369238.33739203878</v>
      </c>
      <c r="C53" s="18">
        <f t="shared" si="22"/>
        <v>-380315.48751379992</v>
      </c>
      <c r="D53" s="18">
        <f t="shared" si="22"/>
        <v>-391724.95213921391</v>
      </c>
      <c r="E53" s="18">
        <f t="shared" si="22"/>
        <v>-403476.70070339029</v>
      </c>
      <c r="F53" s="18">
        <f t="shared" si="22"/>
        <v>-415581.00172449206</v>
      </c>
      <c r="G53" s="18">
        <f t="shared" si="22"/>
        <v>-428048.43177622685</v>
      </c>
      <c r="H53" s="18">
        <f t="shared" si="22"/>
        <v>-440889.88472951355</v>
      </c>
      <c r="I53" s="18">
        <f t="shared" si="22"/>
        <v>-454116.58127139899</v>
      </c>
      <c r="J53" s="18">
        <f t="shared" si="22"/>
        <v>-467740.07870954095</v>
      </c>
      <c r="K53" s="19">
        <f t="shared" si="22"/>
        <v>-481772.28107082716</v>
      </c>
      <c r="N53" s="3488"/>
      <c r="O53" s="3490"/>
      <c r="Z53" s="1631" t="s">
        <v>4358</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-40713</v>
      </c>
      <c r="C54" s="18">
        <f>IF(AND('Part VI-Pro Forma'!$G$9="Yes",'Part VI-Pro Forma'!$G$10="Yes"),"Choose One!",IF('Part VI-Pro Forma'!$G$9="Yes",ROUND((-$K$9*(1+'Part VI-Pro Forma'!$B$7)^('Part VI-Pro Forma'!C46-1)),),IF('Part VI-Pro Forma'!$G$10="Yes",ROUND((-(SUM(C47:C50)*'Part VI-Pro Forma'!$K$10)),),"Choose mgt fee")))</f>
        <v>-41527</v>
      </c>
      <c r="D54" s="18">
        <f>IF(AND('Part VI-Pro Forma'!$G$9="Yes",'Part VI-Pro Forma'!$G$10="Yes"),"Choose One!",IF('Part VI-Pro Forma'!$G$9="Yes",ROUND((-$K$9*(1+'Part VI-Pro Forma'!$B$7)^('Part VI-Pro Forma'!D46-1)),),IF('Part VI-Pro Forma'!$G$10="Yes",ROUND((-(SUM(D47:D50)*'Part VI-Pro Forma'!$K$10)),),"Choose mgt fee")))</f>
        <v>-42357</v>
      </c>
      <c r="E54" s="18">
        <f>IF(AND('Part VI-Pro Forma'!$G$9="Yes",'Part VI-Pro Forma'!$G$10="Yes"),"Choose One!",IF('Part VI-Pro Forma'!$G$9="Yes",ROUND((-$K$9*(1+'Part VI-Pro Forma'!$B$7)^('Part VI-Pro Forma'!E46-1)),),IF('Part VI-Pro Forma'!$G$10="Yes",ROUND((-(SUM(E47:E50)*'Part VI-Pro Forma'!$K$10)),),"Choose mgt fee")))</f>
        <v>-43205</v>
      </c>
      <c r="F54" s="18">
        <f>IF(AND('Part VI-Pro Forma'!$G$9="Yes",'Part VI-Pro Forma'!$G$10="Yes"),"Choose One!",IF('Part VI-Pro Forma'!$G$9="Yes",ROUND((-$K$9*(1+'Part VI-Pro Forma'!$B$7)^('Part VI-Pro Forma'!F46-1)),),IF('Part VI-Pro Forma'!$G$10="Yes",ROUND((-(SUM(F47:F50)*'Part VI-Pro Forma'!$K$10)),),"Choose mgt fee")))</f>
        <v>-44069</v>
      </c>
      <c r="G54" s="18">
        <f>IF(AND('Part VI-Pro Forma'!$G$9="Yes",'Part VI-Pro Forma'!$G$10="Yes"),"Choose One!",IF('Part VI-Pro Forma'!$G$9="Yes",ROUND((-$K$9*(1+'Part VI-Pro Forma'!$B$7)^('Part VI-Pro Forma'!G46-1)),),IF('Part VI-Pro Forma'!$G$10="Yes",ROUND((-(SUM(G47:G50)*'Part VI-Pro Forma'!$K$10)),),"Choose mgt fee")))</f>
        <v>-44950</v>
      </c>
      <c r="H54" s="18">
        <f>IF(AND('Part VI-Pro Forma'!$G$9="Yes",'Part VI-Pro Forma'!$G$10="Yes"),"Choose One!",IF('Part VI-Pro Forma'!$G$9="Yes",ROUND((-$K$9*(1+'Part VI-Pro Forma'!$B$7)^('Part VI-Pro Forma'!H46-1)),),IF('Part VI-Pro Forma'!$G$10="Yes",ROUND((-(SUM(H47:H50)*'Part VI-Pro Forma'!$K$10)),),"Choose mgt fee")))</f>
        <v>-45849</v>
      </c>
      <c r="I54" s="18">
        <f>IF(AND('Part VI-Pro Forma'!$G$9="Yes",'Part VI-Pro Forma'!$G$10="Yes"),"Choose One!",IF('Part VI-Pro Forma'!$G$9="Yes",ROUND((-$K$9*(1+'Part VI-Pro Forma'!$B$7)^('Part VI-Pro Forma'!I46-1)),),IF('Part VI-Pro Forma'!$G$10="Yes",ROUND((-(SUM(I47:I50)*'Part VI-Pro Forma'!$K$10)),),"Choose mgt fee")))</f>
        <v>-46766</v>
      </c>
      <c r="J54" s="18">
        <f>IF(AND('Part VI-Pro Forma'!$G$9="Yes",'Part VI-Pro Forma'!$G$10="Yes"),"Choose One!",IF('Part VI-Pro Forma'!$G$9="Yes",ROUND((-$K$9*(1+'Part VI-Pro Forma'!$B$7)^('Part VI-Pro Forma'!J46-1)),),IF('Part VI-Pro Forma'!$G$10="Yes",ROUND((-(SUM(J47:J50)*'Part VI-Pro Forma'!$K$10)),),"Choose mgt fee")))</f>
        <v>-47701</v>
      </c>
      <c r="K54" s="19">
        <f>IF(AND('Part VI-Pro Forma'!$G$9="Yes",'Part VI-Pro Forma'!$G$10="Yes"),"Choose One!",IF('Part VI-Pro Forma'!$G$9="Yes",ROUND((-$K$9*(1+'Part VI-Pro Forma'!$B$7)^('Part VI-Pro Forma'!K46-1)),),IF('Part VI-Pro Forma'!$G$10="Yes",ROUND((-(SUM(K47:K50)*'Part VI-Pro Forma'!$K$10)),),"Choose mgt fee")))</f>
        <v>-48655</v>
      </c>
      <c r="N54" s="3488"/>
      <c r="O54" s="3490"/>
      <c r="Z54" s="1631" t="s">
        <v>4358</v>
      </c>
      <c r="AA54" s="1633">
        <v>54</v>
      </c>
    </row>
    <row r="55" spans="1:27" ht="13.35" customHeight="1">
      <c r="A55" s="17" t="s">
        <v>1127</v>
      </c>
      <c r="B55" s="18">
        <f t="shared" ref="B55:K55" si="23">$B$23*(1+$B$8)^(B46-1)</f>
        <v>-20158.745690161828</v>
      </c>
      <c r="C55" s="18">
        <f t="shared" si="23"/>
        <v>-20763.508060866683</v>
      </c>
      <c r="D55" s="18">
        <f t="shared" si="23"/>
        <v>-21386.413302692679</v>
      </c>
      <c r="E55" s="18">
        <f t="shared" si="23"/>
        <v>-22028.005701773458</v>
      </c>
      <c r="F55" s="18">
        <f t="shared" si="23"/>
        <v>-22688.845872826667</v>
      </c>
      <c r="G55" s="18">
        <f t="shared" si="23"/>
        <v>-23369.511249011466</v>
      </c>
      <c r="H55" s="18">
        <f t="shared" si="23"/>
        <v>-24070.596586481806</v>
      </c>
      <c r="I55" s="18">
        <f t="shared" si="23"/>
        <v>-24792.714484076259</v>
      </c>
      <c r="J55" s="18">
        <f t="shared" si="23"/>
        <v>-25536.49591859855</v>
      </c>
      <c r="K55" s="19">
        <f t="shared" si="23"/>
        <v>-26302.590796156503</v>
      </c>
      <c r="N55" s="3488"/>
      <c r="O55" s="3490"/>
      <c r="Q55" s="92"/>
      <c r="R55" s="856"/>
      <c r="S55" s="856"/>
      <c r="Z55" s="1631" t="s">
        <v>4358</v>
      </c>
      <c r="AA55" s="1633">
        <v>55</v>
      </c>
    </row>
    <row r="56" spans="1:27" ht="13.35" customHeight="1">
      <c r="A56" s="340" t="s">
        <v>3712</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8"/>
      <c r="O56" s="3490"/>
      <c r="Z56" s="1631" t="s">
        <v>4358</v>
      </c>
      <c r="AA56" s="1633">
        <v>56</v>
      </c>
    </row>
    <row r="57" spans="1:27" ht="13.35" customHeight="1">
      <c r="A57" s="17" t="s">
        <v>1128</v>
      </c>
      <c r="B57" s="18">
        <f t="shared" ref="B57:K57" si="24">SUM(B52:B56)</f>
        <v>248433.65265140508</v>
      </c>
      <c r="C57" s="18">
        <f t="shared" si="24"/>
        <v>249508.61487361096</v>
      </c>
      <c r="D57" s="18">
        <f t="shared" si="24"/>
        <v>250488.5372153366</v>
      </c>
      <c r="E57" s="18">
        <f t="shared" si="24"/>
        <v>251366.33430522424</v>
      </c>
      <c r="F57" s="18">
        <f t="shared" si="24"/>
        <v>252138.7139272771</v>
      </c>
      <c r="G57" s="18">
        <f t="shared" si="24"/>
        <v>252799.16972984924</v>
      </c>
      <c r="H57" s="18">
        <f t="shared" si="24"/>
        <v>253340.9736941942</v>
      </c>
      <c r="I57" s="18">
        <f t="shared" si="24"/>
        <v>253758.16835491807</v>
      </c>
      <c r="J57" s="18">
        <f t="shared" si="24"/>
        <v>254044.55876446154</v>
      </c>
      <c r="K57" s="1156">
        <f t="shared" si="24"/>
        <v>254192.70419346943</v>
      </c>
      <c r="N57" s="3488"/>
      <c r="O57" s="3490"/>
      <c r="Z57" s="1631" t="s">
        <v>4358</v>
      </c>
      <c r="AA57" s="1633">
        <v>57</v>
      </c>
    </row>
    <row r="58" spans="1:27" ht="13.35" customHeight="1">
      <c r="A58" s="17" t="str">
        <f>$A26</f>
        <v>Mortgage A</v>
      </c>
      <c r="B58" s="341">
        <f>IF('Part II-Sources of Funds'!$P$40="", 0,-'Part II-Sources of Funds'!$P$40)</f>
        <v>-178627.64290489111</v>
      </c>
      <c r="C58" s="341">
        <f>IF('Part II-Sources of Funds'!$P$40="", 0,-'Part II-Sources of Funds'!$P$40)</f>
        <v>-178627.64290489111</v>
      </c>
      <c r="D58" s="341">
        <f>IF('Part II-Sources of Funds'!$P$40="", 0,-'Part II-Sources of Funds'!$P$40)</f>
        <v>-178627.64290489111</v>
      </c>
      <c r="E58" s="341">
        <f>IF('Part II-Sources of Funds'!$P$40="", 0,-'Part II-Sources of Funds'!$P$40)</f>
        <v>-178627.64290489111</v>
      </c>
      <c r="F58" s="341">
        <f>IF('Part II-Sources of Funds'!$P$40="", 0,-'Part II-Sources of Funds'!$P$40)</f>
        <v>-178627.64290489111</v>
      </c>
      <c r="G58" s="341">
        <f>IF('Part II-Sources of Funds'!$P$40="", 0,-'Part II-Sources of Funds'!$P$40)</f>
        <v>-178627.64290489111</v>
      </c>
      <c r="H58" s="341">
        <f>IF('Part II-Sources of Funds'!$P$40="", 0,-'Part II-Sources of Funds'!$P$40)</f>
        <v>-178627.64290489111</v>
      </c>
      <c r="I58" s="341">
        <f>IF('Part II-Sources of Funds'!$P$40="", 0,-'Part II-Sources of Funds'!$P$40)</f>
        <v>-178627.64290489111</v>
      </c>
      <c r="J58" s="341">
        <f>IF('Part II-Sources of Funds'!$P$40="", 0,-'Part II-Sources of Funds'!$P$40)</f>
        <v>-178627.64290489111</v>
      </c>
      <c r="K58" s="341">
        <f>IF('Part II-Sources of Funds'!$P$40="", 0,-'Part II-Sources of Funds'!$P$40)</f>
        <v>-178627.64290489111</v>
      </c>
      <c r="N58" s="3488"/>
      <c r="O58" s="3490"/>
      <c r="Z58" s="1631" t="s">
        <v>4358</v>
      </c>
      <c r="AA58" s="1633">
        <v>58</v>
      </c>
    </row>
    <row r="59" spans="1:27" ht="13.35" customHeight="1">
      <c r="A59" s="17" t="str">
        <f>$A27</f>
        <v>Mortgage B</v>
      </c>
      <c r="B59" s="178">
        <f>-0.25*(B57+B58+B63)</f>
        <v>-15576.502436628492</v>
      </c>
      <c r="C59" s="178">
        <f t="shared" ref="C59" si="25">-0.25*(C57+C58+C63)</f>
        <v>-15845.242992179963</v>
      </c>
      <c r="D59" s="178">
        <f t="shared" ref="D59" si="26">-0.25*(D57+D58+D63)</f>
        <v>-16090.223577611374</v>
      </c>
      <c r="E59" s="178">
        <f t="shared" ref="E59" si="27">-0.25*(E57+E58+E63)</f>
        <v>-16309.672850083283</v>
      </c>
      <c r="F59" s="178">
        <f t="shared" ref="F59" si="28">-0.25*(F57+F58+F63)</f>
        <v>-16502.767755596498</v>
      </c>
      <c r="G59" s="178">
        <f t="shared" ref="G59" si="29">-0.25*(G57+G58+G63)</f>
        <v>-18542.881706239532</v>
      </c>
      <c r="H59" s="178">
        <f t="shared" ref="H59" si="30">-0.25*(H57+H58+H63)</f>
        <v>-18678.332697325772</v>
      </c>
      <c r="I59" s="178">
        <f t="shared" ref="I59" si="31">-0.25*(I57+I58+I63)</f>
        <v>-18782.631362506741</v>
      </c>
      <c r="J59" s="178">
        <f t="shared" ref="J59" si="32">-0.25*(J57+J58+J63)</f>
        <v>-18854.228964892609</v>
      </c>
      <c r="K59" s="178">
        <f t="shared" ref="K59" si="33">-0.25*(K57+K58+K63)</f>
        <v>-18891.26532214458</v>
      </c>
      <c r="N59" s="3488"/>
      <c r="O59" s="3490"/>
      <c r="Z59" s="1631" t="s">
        <v>4358</v>
      </c>
      <c r="AA59" s="1633">
        <v>59</v>
      </c>
    </row>
    <row r="60" spans="1:27" ht="13.35" customHeight="1">
      <c r="A60" s="17" t="str">
        <f>$A28</f>
        <v>Mortgage C</v>
      </c>
      <c r="B60" s="178">
        <v>0</v>
      </c>
      <c r="C60" s="178">
        <v>0</v>
      </c>
      <c r="D60" s="178">
        <v>0</v>
      </c>
      <c r="E60" s="178">
        <v>0</v>
      </c>
      <c r="F60" s="178">
        <v>0</v>
      </c>
      <c r="G60" s="178">
        <v>0</v>
      </c>
      <c r="H60" s="178">
        <v>0</v>
      </c>
      <c r="I60" s="178">
        <v>0</v>
      </c>
      <c r="J60" s="178">
        <v>0</v>
      </c>
      <c r="K60" s="178">
        <v>0</v>
      </c>
      <c r="N60" s="3488"/>
      <c r="O60" s="3490"/>
      <c r="Z60" s="1631" t="s">
        <v>4358</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8"/>
      <c r="O61" s="3490"/>
      <c r="Z61" s="1631" t="s">
        <v>4358</v>
      </c>
      <c r="AA61" s="1633">
        <v>61</v>
      </c>
    </row>
    <row r="62" spans="1:27" ht="13.35" customHeight="1">
      <c r="A62" s="17" t="s">
        <v>710</v>
      </c>
      <c r="B62" s="138"/>
      <c r="C62" s="138"/>
      <c r="D62" s="138"/>
      <c r="E62" s="138"/>
      <c r="F62" s="138"/>
      <c r="G62" s="138"/>
      <c r="H62" s="138"/>
      <c r="I62" s="138"/>
      <c r="J62" s="138"/>
      <c r="K62" s="138"/>
      <c r="N62" s="3488"/>
      <c r="O62" s="3490"/>
      <c r="Q62" s="92"/>
      <c r="R62" s="856"/>
      <c r="Z62" s="1631" t="s">
        <v>4358</v>
      </c>
      <c r="AA62" s="1633">
        <v>62</v>
      </c>
    </row>
    <row r="63" spans="1:27" ht="13.35" customHeight="1">
      <c r="A63" s="340" t="s">
        <v>1094</v>
      </c>
      <c r="B63" s="178">
        <f>+K31</f>
        <v>-7500</v>
      </c>
      <c r="C63" s="178">
        <f t="shared" ref="C63:K63" si="34">+B63</f>
        <v>-7500</v>
      </c>
      <c r="D63" s="178">
        <f t="shared" si="34"/>
        <v>-7500</v>
      </c>
      <c r="E63" s="178">
        <f t="shared" si="34"/>
        <v>-7500</v>
      </c>
      <c r="F63" s="178">
        <f t="shared" si="34"/>
        <v>-7500</v>
      </c>
      <c r="G63" s="178">
        <v>0</v>
      </c>
      <c r="H63" s="178">
        <f t="shared" si="34"/>
        <v>0</v>
      </c>
      <c r="I63" s="178">
        <f t="shared" si="34"/>
        <v>0</v>
      </c>
      <c r="J63" s="178">
        <f t="shared" si="34"/>
        <v>0</v>
      </c>
      <c r="K63" s="178">
        <f t="shared" si="34"/>
        <v>0</v>
      </c>
      <c r="N63" s="3488"/>
      <c r="O63" s="3490"/>
      <c r="Z63" s="1631" t="s">
        <v>4358</v>
      </c>
      <c r="AA63" s="1633">
        <v>63</v>
      </c>
    </row>
    <row r="64" spans="1:27" ht="13.35" customHeight="1">
      <c r="A64" s="340" t="s">
        <v>3274</v>
      </c>
      <c r="B64" s="179">
        <v>-17989.73</v>
      </c>
      <c r="C64" s="179">
        <v>-17989.73</v>
      </c>
      <c r="D64" s="179">
        <v>-17989.73</v>
      </c>
      <c r="E64" s="179">
        <v>-17989.73</v>
      </c>
      <c r="F64" s="179">
        <v>-17989.73</v>
      </c>
      <c r="G64" s="179"/>
      <c r="H64" s="179"/>
      <c r="I64" s="179"/>
      <c r="J64" s="179"/>
      <c r="K64" s="179"/>
      <c r="N64" s="3488"/>
      <c r="O64" s="3490"/>
      <c r="Z64" s="1631" t="s">
        <v>4358</v>
      </c>
      <c r="AA64" s="1633">
        <v>64</v>
      </c>
    </row>
    <row r="65" spans="1:27" ht="13.35" customHeight="1">
      <c r="A65" s="17" t="s">
        <v>1095</v>
      </c>
      <c r="B65" s="18">
        <f t="shared" ref="B65:K65" si="35">SUM(B57:B64)</f>
        <v>28739.777309885478</v>
      </c>
      <c r="C65" s="18">
        <f t="shared" si="35"/>
        <v>29545.99897653989</v>
      </c>
      <c r="D65" s="18">
        <f t="shared" si="35"/>
        <v>30280.940732834122</v>
      </c>
      <c r="E65" s="18">
        <f t="shared" si="35"/>
        <v>30939.28855024985</v>
      </c>
      <c r="F65" s="18">
        <f t="shared" si="35"/>
        <v>31518.573266789495</v>
      </c>
      <c r="G65" s="18">
        <f t="shared" si="35"/>
        <v>55628.645118718596</v>
      </c>
      <c r="H65" s="18">
        <f t="shared" si="35"/>
        <v>56034.998091977315</v>
      </c>
      <c r="I65" s="18">
        <f t="shared" si="35"/>
        <v>56347.894087520224</v>
      </c>
      <c r="J65" s="18">
        <f t="shared" si="35"/>
        <v>56562.686894677827</v>
      </c>
      <c r="K65" s="496">
        <f t="shared" si="35"/>
        <v>56673.79596643374</v>
      </c>
      <c r="N65" s="3488"/>
      <c r="O65" s="3490"/>
      <c r="Z65" s="1631" t="s">
        <v>4358</v>
      </c>
      <c r="AA65" s="1633">
        <v>65</v>
      </c>
    </row>
    <row r="66" spans="1:27" ht="13.35" customHeight="1">
      <c r="A66" s="17" t="str">
        <f>$A34</f>
        <v>DCR Mortgage A</v>
      </c>
      <c r="B66" s="20">
        <f t="shared" ref="B66:K66" si="36">IF(B58=0,"",-B57/B58)</f>
        <v>1.3907906335845321</v>
      </c>
      <c r="C66" s="20">
        <f t="shared" si="36"/>
        <v>1.3968085275942419</v>
      </c>
      <c r="D66" s="20">
        <f t="shared" si="36"/>
        <v>1.4022943657645826</v>
      </c>
      <c r="E66" s="20">
        <f t="shared" si="36"/>
        <v>1.40720848250269</v>
      </c>
      <c r="F66" s="20">
        <f t="shared" si="36"/>
        <v>1.411532447200943</v>
      </c>
      <c r="G66" s="20">
        <f t="shared" si="36"/>
        <v>1.415229835756441</v>
      </c>
      <c r="H66" s="20">
        <f t="shared" si="36"/>
        <v>1.4182629831211713</v>
      </c>
      <c r="I66" s="20">
        <f t="shared" si="36"/>
        <v>1.4205985379879285</v>
      </c>
      <c r="J66" s="20">
        <f t="shared" si="36"/>
        <v>1.4222018195679018</v>
      </c>
      <c r="K66" s="21">
        <f t="shared" si="36"/>
        <v>1.4230311728896985</v>
      </c>
      <c r="N66" s="3488"/>
      <c r="O66" s="3490"/>
      <c r="Z66" s="1631" t="s">
        <v>4358</v>
      </c>
      <c r="AA66" s="1633">
        <v>66</v>
      </c>
    </row>
    <row r="67" spans="1:27" ht="13.35" customHeight="1">
      <c r="A67" s="17" t="str">
        <f>$A35</f>
        <v>DCR Mortgage B</v>
      </c>
      <c r="B67" s="20">
        <f t="shared" ref="B67:K67" si="37">IF(B59=0,"",-(B57+B58)/B59)</f>
        <v>4.4814944837914048</v>
      </c>
      <c r="C67" s="20">
        <f t="shared" si="37"/>
        <v>4.4733281782867858</v>
      </c>
      <c r="D67" s="20">
        <f t="shared" si="37"/>
        <v>4.4661215528686515</v>
      </c>
      <c r="E67" s="20">
        <f t="shared" si="37"/>
        <v>4.4598498123744834</v>
      </c>
      <c r="F67" s="20">
        <f t="shared" si="37"/>
        <v>4.4544692206224958</v>
      </c>
      <c r="G67" s="20">
        <f t="shared" si="37"/>
        <v>4</v>
      </c>
      <c r="H67" s="20">
        <f t="shared" si="37"/>
        <v>4</v>
      </c>
      <c r="I67" s="20">
        <f t="shared" si="37"/>
        <v>4</v>
      </c>
      <c r="J67" s="20">
        <f t="shared" si="37"/>
        <v>4</v>
      </c>
      <c r="K67" s="21">
        <f t="shared" si="37"/>
        <v>4</v>
      </c>
      <c r="N67" s="3488"/>
      <c r="O67" s="3490"/>
      <c r="Z67" s="1631" t="s">
        <v>4358</v>
      </c>
      <c r="AA67" s="1633">
        <v>67</v>
      </c>
    </row>
    <row r="68" spans="1:27" ht="13.35" customHeight="1">
      <c r="A68" s="17" t="str">
        <f>$A36</f>
        <v>DCR Mortgage C</v>
      </c>
      <c r="B68" s="20" t="str">
        <f t="shared" ref="B68:K68" si="38">IF(B60=0,"",-(B57+B58+B59)/B60)</f>
        <v/>
      </c>
      <c r="C68" s="20" t="str">
        <f t="shared" si="38"/>
        <v/>
      </c>
      <c r="D68" s="20" t="str">
        <f t="shared" si="38"/>
        <v/>
      </c>
      <c r="E68" s="20" t="str">
        <f t="shared" si="38"/>
        <v/>
      </c>
      <c r="F68" s="20" t="str">
        <f t="shared" si="38"/>
        <v/>
      </c>
      <c r="G68" s="20" t="str">
        <f t="shared" si="38"/>
        <v/>
      </c>
      <c r="H68" s="20" t="str">
        <f t="shared" si="38"/>
        <v/>
      </c>
      <c r="I68" s="20" t="str">
        <f t="shared" si="38"/>
        <v/>
      </c>
      <c r="J68" s="20" t="str">
        <f t="shared" si="38"/>
        <v/>
      </c>
      <c r="K68" s="21" t="str">
        <f t="shared" si="38"/>
        <v/>
      </c>
      <c r="N68" s="3488"/>
      <c r="O68" s="3490"/>
      <c r="Z68" s="1631" t="s">
        <v>4358</v>
      </c>
      <c r="AA68" s="1633">
        <v>68</v>
      </c>
    </row>
    <row r="69" spans="1:27" ht="13.35" customHeight="1">
      <c r="A69" s="17" t="str">
        <f>$A37</f>
        <v>DCR Other Source</v>
      </c>
      <c r="B69" s="20" t="str">
        <f t="shared" ref="B69:K69" si="39">IF(B61=0,"",-(B57+B58+B59+B60)/B61)</f>
        <v/>
      </c>
      <c r="C69" s="20" t="str">
        <f t="shared" si="39"/>
        <v/>
      </c>
      <c r="D69" s="20" t="str">
        <f t="shared" si="39"/>
        <v/>
      </c>
      <c r="E69" s="20" t="str">
        <f t="shared" si="39"/>
        <v/>
      </c>
      <c r="F69" s="20" t="str">
        <f t="shared" si="39"/>
        <v/>
      </c>
      <c r="G69" s="20" t="str">
        <f t="shared" si="39"/>
        <v/>
      </c>
      <c r="H69" s="20" t="str">
        <f t="shared" si="39"/>
        <v/>
      </c>
      <c r="I69" s="20" t="str">
        <f t="shared" si="39"/>
        <v/>
      </c>
      <c r="J69" s="20" t="str">
        <f t="shared" si="39"/>
        <v/>
      </c>
      <c r="K69" s="21" t="str">
        <f t="shared" si="39"/>
        <v/>
      </c>
      <c r="N69" s="3488"/>
      <c r="O69" s="3490"/>
      <c r="Z69" s="1631" t="s">
        <v>4358</v>
      </c>
      <c r="AA69" s="1633">
        <v>69</v>
      </c>
    </row>
    <row r="70" spans="1:27" ht="13.35" customHeight="1">
      <c r="A70" s="340" t="s">
        <v>3130</v>
      </c>
      <c r="B70" s="20">
        <f t="shared" ref="B70:K70" si="40">IF(AND(B58=0,B59=0,B60=0,B61=0),"",-B57/(B58+B59+B60+B61))</f>
        <v>1.2792397001336899</v>
      </c>
      <c r="C70" s="20">
        <f t="shared" si="40"/>
        <v>1.2829994974500905</v>
      </c>
      <c r="D70" s="20">
        <f t="shared" si="40"/>
        <v>1.2864178400282837</v>
      </c>
      <c r="E70" s="20">
        <f t="shared" si="40"/>
        <v>1.2894726355069857</v>
      </c>
      <c r="F70" s="20">
        <f t="shared" si="40"/>
        <v>1.292154887973765</v>
      </c>
      <c r="G70" s="20">
        <f t="shared" si="40"/>
        <v>1.28213469142222</v>
      </c>
      <c r="H70" s="20">
        <f t="shared" si="40"/>
        <v>1.2840005120014608</v>
      </c>
      <c r="I70" s="20">
        <f t="shared" si="40"/>
        <v>1.2854354683241835</v>
      </c>
      <c r="J70" s="20">
        <f t="shared" si="40"/>
        <v>1.2864196412518021</v>
      </c>
      <c r="K70" s="21">
        <f t="shared" si="40"/>
        <v>1.2869284590277845</v>
      </c>
      <c r="N70" s="3488"/>
      <c r="O70" s="3490"/>
      <c r="Z70" s="1631" t="s">
        <v>4358</v>
      </c>
      <c r="AA70" s="1633">
        <v>70</v>
      </c>
    </row>
    <row r="71" spans="1:27" ht="13.35" customHeight="1">
      <c r="A71" s="17" t="s">
        <v>717</v>
      </c>
      <c r="B71" s="220">
        <f t="shared" ref="B71:K71" si="41">IF(OR(B54="Choose mgt fee",B54="Choose One!"),"",(B47+B48+B49+B50+B51) / -(B53+B54+B55))</f>
        <v>1.5776048096131836</v>
      </c>
      <c r="C71" s="220">
        <f t="shared" si="41"/>
        <v>1.5637262426814991</v>
      </c>
      <c r="D71" s="220">
        <f t="shared" si="41"/>
        <v>1.5499581446722572</v>
      </c>
      <c r="E71" s="220">
        <f t="shared" si="41"/>
        <v>1.5362942795298915</v>
      </c>
      <c r="F71" s="220">
        <f t="shared" si="41"/>
        <v>1.5227418757233826</v>
      </c>
      <c r="G71" s="220">
        <f t="shared" si="41"/>
        <v>1.5092979377135067</v>
      </c>
      <c r="H71" s="220">
        <f t="shared" si="41"/>
        <v>1.4959598107723322</v>
      </c>
      <c r="I71" s="220">
        <f t="shared" si="41"/>
        <v>1.4827279699157803</v>
      </c>
      <c r="J71" s="220">
        <f t="shared" si="41"/>
        <v>1.4696027537538654</v>
      </c>
      <c r="K71" s="221">
        <f t="shared" si="41"/>
        <v>1.4565817590154426</v>
      </c>
      <c r="N71" s="3488"/>
      <c r="O71" s="3490"/>
      <c r="Z71" s="1631" t="s">
        <v>4358</v>
      </c>
      <c r="AA71" s="1633">
        <v>71</v>
      </c>
    </row>
    <row r="72" spans="1:27" ht="13.35" customHeight="1">
      <c r="A72" s="340" t="s">
        <v>2399</v>
      </c>
      <c r="B72" s="177">
        <f>IF('Part II-Sources of Funds'!$I$40="","",-FV('Part II-Sources of Funds'!$K$40/12,12,B58/12,K40))</f>
        <v>2059566.6108561826</v>
      </c>
      <c r="C72" s="177">
        <f>IF('Part II-Sources of Funds'!$I$40="","",-FV('Part II-Sources of Funds'!$K$40/12,12,C58/12,B72))</f>
        <v>2039865.3344960923</v>
      </c>
      <c r="D72" s="177">
        <f>IF('Part II-Sources of Funds'!$I$40="","",-FV('Part II-Sources of Funds'!$K$40/12,12,D58/12,C72))</f>
        <v>2018581.7895715733</v>
      </c>
      <c r="E72" s="177">
        <f>IF('Part II-Sources of Funds'!$I$40="","",-FV('Part II-Sources of Funds'!$K$40/12,12,E58/12,D72))</f>
        <v>1995588.8993509344</v>
      </c>
      <c r="F72" s="177">
        <f>IF('Part II-Sources of Funds'!$I$40="","",-FV('Part II-Sources of Funds'!$K$40/12,12,F58/12,E72))</f>
        <v>1970749.3811892162</v>
      </c>
      <c r="G72" s="177">
        <f>IF('Part II-Sources of Funds'!$I$40="","",-FV('Part II-Sources of Funds'!$K$40/12,12,G58/12,F72))</f>
        <v>1943914.9268606992</v>
      </c>
      <c r="H72" s="177">
        <f>IF('Part II-Sources of Funds'!$I$40="","",-FV('Part II-Sources of Funds'!$K$40/12,12,H58/12,G72))</f>
        <v>1914925.3170614622</v>
      </c>
      <c r="I72" s="177">
        <f>IF('Part II-Sources of Funds'!$I$40="","",-FV('Part II-Sources of Funds'!$K$40/12,12,I58/12,H72))</f>
        <v>1883607.4647949857</v>
      </c>
      <c r="J72" s="177">
        <f>IF('Part II-Sources of Funds'!$I$40="","",-FV('Part II-Sources of Funds'!$K$40/12,12,J58/12,I72))</f>
        <v>1849774.3819291836</v>
      </c>
      <c r="K72" s="177">
        <f>IF('Part II-Sources of Funds'!$I$40="","",-FV('Part II-Sources of Funds'!$K$40/12,12,K58/12,J72))</f>
        <v>1813224.0627545342</v>
      </c>
      <c r="N72" s="3488"/>
      <c r="O72" s="3490"/>
      <c r="Z72" s="1631" t="s">
        <v>4358</v>
      </c>
      <c r="AA72" s="1633">
        <v>72</v>
      </c>
    </row>
    <row r="73" spans="1:27" ht="13.35" customHeight="1">
      <c r="A73" s="340" t="s">
        <v>2400</v>
      </c>
      <c r="B73" s="178">
        <f>IF('Part II-Sources of Funds'!$I$41="","",-FV('Part II-Sources of Funds'!$K$41/12,12,B59/12,K41))</f>
        <v>587067.33103992033</v>
      </c>
      <c r="C73" s="178">
        <f>IF('Part II-Sources of Funds'!$I$41="","",-FV('Part II-Sources of Funds'!$K$41/12,12,C59/12,B73))</f>
        <v>594846.36871827987</v>
      </c>
      <c r="D73" s="178">
        <f>IF('Part II-Sources of Funds'!$I$41="","",-FV('Part II-Sources of Funds'!$K$41/12,12,D59/12,C73))</f>
        <v>602692.81421819027</v>
      </c>
      <c r="E73" s="178">
        <f>IF('Part II-Sources of Funds'!$I$41="","",-FV('Part II-Sources of Funds'!$K$41/12,12,E59/12,D73))</f>
        <v>610635.41846537485</v>
      </c>
      <c r="F73" s="178">
        <f>IF('Part II-Sources of Funds'!$I$41="","",-FV('Part II-Sources of Funds'!$K$41/12,12,F59/12,E73))</f>
        <v>618704.94205487706</v>
      </c>
      <c r="G73" s="178">
        <f>IF('Part II-Sources of Funds'!$I$41="","",-FV('Part II-Sources of Funds'!$K$41/12,12,G59/12,F73))</f>
        <v>625025.29573400842</v>
      </c>
      <c r="H73" s="178">
        <f>IF('Part II-Sources of Funds'!$I$41="","",-FV('Part II-Sources of Funds'!$K$41/12,12,H59/12,G73))</f>
        <v>631465.18831465463</v>
      </c>
      <c r="I73" s="178">
        <f>IF('Part II-Sources of Funds'!$I$41="","",-FV('Part II-Sources of Funds'!$K$41/12,12,I59/12,H73))</f>
        <v>638061.21984167548</v>
      </c>
      <c r="J73" s="178">
        <f>IF('Part II-Sources of Funds'!$I$41="","",-FV('Part II-Sources of Funds'!$K$41/12,12,J59/12,I73))</f>
        <v>644853.05895049078</v>
      </c>
      <c r="K73" s="178">
        <f>IF('Part II-Sources of Funds'!$I$41="","",-FV('Part II-Sources of Funds'!$K$41/12,12,K59/12,J73))</f>
        <v>651883.8851053979</v>
      </c>
      <c r="N73" s="3488"/>
      <c r="O73" s="3490"/>
      <c r="Z73" s="1631" t="s">
        <v>4358</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8"/>
      <c r="O74" s="3490"/>
      <c r="Z74" s="1631" t="s">
        <v>4358</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8"/>
      <c r="O75" s="3490"/>
      <c r="Z75" s="1631" t="s">
        <v>4358</v>
      </c>
      <c r="AA75" s="1633">
        <v>75</v>
      </c>
    </row>
    <row r="76" spans="1:27" ht="13.35" customHeight="1">
      <c r="A76" s="340" t="s">
        <v>3275</v>
      </c>
      <c r="B76" s="179">
        <f>IF('Part II-Sources of Funds'!$I$45="","",IF(-FV('Part II-Sources of Funds'!$K$45/12,12,B64/12,K44)&gt;0,-FV('Part II-Sources of Funds'!$K$45/12,12,B64/12,K44),0))</f>
        <v>71958.969999999943</v>
      </c>
      <c r="C76" s="179">
        <f>IF('Part II-Sources of Funds'!$I$45="","",IF(-FV('Part II-Sources of Funds'!$K$45/12,12,C64/12,B76)&gt;0,-FV('Part II-Sources of Funds'!$K$45/12,12,C64/12,B76),0))</f>
        <v>53969.239999999947</v>
      </c>
      <c r="D76" s="179">
        <f>IF('Part II-Sources of Funds'!$I$45="","",IF(-FV('Part II-Sources of Funds'!$K$45/12,12,D64/12,C76)&gt;0,-FV('Part II-Sources of Funds'!$K$45/12,12,D64/12,C76),0))</f>
        <v>35979.509999999951</v>
      </c>
      <c r="E76" s="179">
        <f>IF('Part II-Sources of Funds'!$I$45="","",IF(-FV('Part II-Sources of Funds'!$K$45/12,12,E64/12,D76)&gt;0,-FV('Part II-Sources of Funds'!$K$45/12,12,E64/12,D76),0))</f>
        <v>17989.779999999952</v>
      </c>
      <c r="F76" s="179">
        <f>IF('Part II-Sources of Funds'!$I$45="","",IF(-FV('Part II-Sources of Funds'!$K$45/12,12,F64/12,E76)&gt;0,-FV('Part II-Sources of Funds'!$K$45/12,12,F64/12,E76),0))</f>
        <v>4.999999995197868E-2</v>
      </c>
      <c r="G76" s="179">
        <f>IF('Part II-Sources of Funds'!$I$45="","",IF(-FV('Part II-Sources of Funds'!$K$45/12,12,G64/12,F76)&gt;0,-FV('Part II-Sources of Funds'!$K$45/12,12,G64/12,F76),0))</f>
        <v>4.999999995197868E-2</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4358</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42">B78+1</f>
        <v>22</v>
      </c>
      <c r="D78" s="12">
        <f t="shared" si="42"/>
        <v>23</v>
      </c>
      <c r="E78" s="12">
        <f t="shared" si="42"/>
        <v>24</v>
      </c>
      <c r="F78" s="12">
        <f t="shared" si="42"/>
        <v>25</v>
      </c>
      <c r="G78" s="12">
        <f t="shared" si="42"/>
        <v>26</v>
      </c>
      <c r="H78" s="12">
        <f t="shared" si="42"/>
        <v>27</v>
      </c>
      <c r="I78" s="12">
        <f t="shared" si="42"/>
        <v>28</v>
      </c>
      <c r="J78" s="12">
        <f t="shared" si="42"/>
        <v>29</v>
      </c>
      <c r="K78" s="12">
        <f t="shared" si="42"/>
        <v>30</v>
      </c>
      <c r="N78" s="3154" t="s">
        <v>2403</v>
      </c>
      <c r="O78" s="3154"/>
      <c r="AA78" s="1633">
        <v>78</v>
      </c>
    </row>
    <row r="79" spans="1:27" ht="13.35" customHeight="1">
      <c r="A79" s="14" t="s">
        <v>2209</v>
      </c>
      <c r="B79" s="15">
        <f t="shared" ref="B79:K79" si="43">$B$15*(1+$B$6)^(B78-1)</f>
        <v>878997.32261703571</v>
      </c>
      <c r="C79" s="15">
        <f t="shared" si="43"/>
        <v>896577.26906937629</v>
      </c>
      <c r="D79" s="15">
        <f t="shared" si="43"/>
        <v>914508.81445076386</v>
      </c>
      <c r="E79" s="15">
        <f t="shared" si="43"/>
        <v>932798.99073977896</v>
      </c>
      <c r="F79" s="15">
        <f t="shared" si="43"/>
        <v>951454.97055457463</v>
      </c>
      <c r="G79" s="15">
        <f t="shared" si="43"/>
        <v>970484.06996566616</v>
      </c>
      <c r="H79" s="15">
        <f t="shared" si="43"/>
        <v>989893.75136497954</v>
      </c>
      <c r="I79" s="15">
        <f t="shared" si="43"/>
        <v>1009691.6263922789</v>
      </c>
      <c r="J79" s="15">
        <f t="shared" si="43"/>
        <v>1029885.4589201248</v>
      </c>
      <c r="K79" s="16">
        <f t="shared" si="43"/>
        <v>1050483.168098527</v>
      </c>
      <c r="N79" s="3508"/>
      <c r="O79" s="3510"/>
      <c r="Z79" s="1631" t="s">
        <v>4359</v>
      </c>
      <c r="AA79" s="1633">
        <v>79</v>
      </c>
    </row>
    <row r="80" spans="1:27" ht="13.35" customHeight="1">
      <c r="A80" s="17" t="s">
        <v>951</v>
      </c>
      <c r="B80" s="18">
        <f t="shared" ref="B80:K80" si="44">$B$16*(1+$B$6)^(B78-1)</f>
        <v>10401.631771848479</v>
      </c>
      <c r="C80" s="18">
        <f t="shared" si="44"/>
        <v>10609.664407285449</v>
      </c>
      <c r="D80" s="18">
        <f t="shared" si="44"/>
        <v>10821.857695431157</v>
      </c>
      <c r="E80" s="18">
        <f t="shared" si="44"/>
        <v>11038.29484933978</v>
      </c>
      <c r="F80" s="18">
        <f t="shared" si="44"/>
        <v>11259.060746326575</v>
      </c>
      <c r="G80" s="18">
        <f t="shared" si="44"/>
        <v>11484.241961253107</v>
      </c>
      <c r="H80" s="18">
        <f t="shared" si="44"/>
        <v>11713.92680047817</v>
      </c>
      <c r="I80" s="18">
        <f t="shared" si="44"/>
        <v>11948.205336487732</v>
      </c>
      <c r="J80" s="18">
        <f t="shared" si="44"/>
        <v>12187.169443217488</v>
      </c>
      <c r="K80" s="19">
        <f t="shared" si="44"/>
        <v>12430.912832081836</v>
      </c>
      <c r="N80" s="3488"/>
      <c r="O80" s="3490"/>
      <c r="Z80" s="1631" t="s">
        <v>4359</v>
      </c>
      <c r="AA80" s="1633">
        <v>80</v>
      </c>
    </row>
    <row r="81" spans="1:27" ht="13.35" customHeight="1">
      <c r="A81" s="17" t="s">
        <v>2210</v>
      </c>
      <c r="B81" s="18">
        <f t="shared" ref="B81:K81" si="45">-(B79+B80)*$B$9</f>
        <v>-62257.926807221898</v>
      </c>
      <c r="C81" s="18">
        <f t="shared" si="45"/>
        <v>-63503.085343366321</v>
      </c>
      <c r="D81" s="18">
        <f t="shared" si="45"/>
        <v>-64773.14705023366</v>
      </c>
      <c r="E81" s="18">
        <f t="shared" si="45"/>
        <v>-66068.609991238322</v>
      </c>
      <c r="F81" s="18">
        <f t="shared" si="45"/>
        <v>-67389.982191063085</v>
      </c>
      <c r="G81" s="18">
        <f t="shared" si="45"/>
        <v>-68737.781834884358</v>
      </c>
      <c r="H81" s="18">
        <f t="shared" si="45"/>
        <v>-70112.537471582051</v>
      </c>
      <c r="I81" s="18">
        <f t="shared" si="45"/>
        <v>-71514.788221013674</v>
      </c>
      <c r="J81" s="18">
        <f t="shared" si="45"/>
        <v>-72945.083985433972</v>
      </c>
      <c r="K81" s="19">
        <f t="shared" si="45"/>
        <v>-74403.985665142623</v>
      </c>
      <c r="N81" s="3488"/>
      <c r="O81" s="3490"/>
      <c r="Z81" s="1631" t="s">
        <v>4359</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8"/>
      <c r="O82" s="3490"/>
      <c r="Z82" s="1631" t="s">
        <v>4359</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8"/>
      <c r="O83" s="3490"/>
      <c r="Z83" s="1631" t="s">
        <v>4359</v>
      </c>
      <c r="AA83" s="1633">
        <v>83</v>
      </c>
    </row>
    <row r="84" spans="1:27" ht="13.35" customHeight="1">
      <c r="A84" s="340" t="s">
        <v>3713</v>
      </c>
      <c r="B84" s="18">
        <f t="shared" ref="B84:K84" si="46">SUM(B79:B83)</f>
        <v>827141.02758166217</v>
      </c>
      <c r="C84" s="18">
        <f t="shared" si="46"/>
        <v>843683.84813329531</v>
      </c>
      <c r="D84" s="18">
        <f t="shared" si="46"/>
        <v>860557.52509596141</v>
      </c>
      <c r="E84" s="18">
        <f t="shared" si="46"/>
        <v>877768.67559788038</v>
      </c>
      <c r="F84" s="18">
        <f t="shared" si="46"/>
        <v>895324.04910983809</v>
      </c>
      <c r="G84" s="18">
        <f t="shared" si="46"/>
        <v>913230.53009203495</v>
      </c>
      <c r="H84" s="18">
        <f t="shared" si="46"/>
        <v>931495.14069387561</v>
      </c>
      <c r="I84" s="18">
        <f t="shared" si="46"/>
        <v>950125.04350775294</v>
      </c>
      <c r="J84" s="18">
        <f t="shared" si="46"/>
        <v>969127.54437790834</v>
      </c>
      <c r="K84" s="19">
        <f t="shared" si="46"/>
        <v>988510.09526546614</v>
      </c>
      <c r="N84" s="3488"/>
      <c r="O84" s="3490"/>
      <c r="Z84" s="1631" t="s">
        <v>4359</v>
      </c>
      <c r="AA84" s="1633">
        <v>84</v>
      </c>
    </row>
    <row r="85" spans="1:27" ht="13.35" customHeight="1">
      <c r="A85" s="17" t="s">
        <v>571</v>
      </c>
      <c r="B85" s="18">
        <f t="shared" ref="B85:K85" si="47">$B$21*(1+$B$7)^(B78-1)</f>
        <v>-496225.44950295193</v>
      </c>
      <c r="C85" s="18">
        <f t="shared" si="47"/>
        <v>-511112.21298804047</v>
      </c>
      <c r="D85" s="18">
        <f t="shared" si="47"/>
        <v>-526445.57937768172</v>
      </c>
      <c r="E85" s="18">
        <f t="shared" si="47"/>
        <v>-542238.94675901218</v>
      </c>
      <c r="F85" s="18">
        <f t="shared" si="47"/>
        <v>-558506.11516178248</v>
      </c>
      <c r="G85" s="18">
        <f t="shared" si="47"/>
        <v>-575261.29861663596</v>
      </c>
      <c r="H85" s="18">
        <f t="shared" si="47"/>
        <v>-592519.1375751351</v>
      </c>
      <c r="I85" s="18">
        <f t="shared" si="47"/>
        <v>-610294.71170238906</v>
      </c>
      <c r="J85" s="18">
        <f t="shared" si="47"/>
        <v>-628603.55305346078</v>
      </c>
      <c r="K85" s="19">
        <f t="shared" si="47"/>
        <v>-647461.6596450645</v>
      </c>
      <c r="N85" s="3488"/>
      <c r="O85" s="3490"/>
      <c r="Z85" s="1631" t="s">
        <v>4359</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-49628</v>
      </c>
      <c r="C86" s="18">
        <f>IF(AND('Part VI-Pro Forma'!$G$9="Yes",'Part VI-Pro Forma'!$G$10="Yes"),"Choose One!",IF('Part VI-Pro Forma'!$G$9="Yes",ROUND((-$K$9*(1+'Part VI-Pro Forma'!$B$7)^('Part VI-Pro Forma'!C78-1)),),IF('Part VI-Pro Forma'!$G$10="Yes",ROUND((-(SUM(C79:C82)*'Part VI-Pro Forma'!$K$10)),),"Choose mgt fee")))</f>
        <v>-50621</v>
      </c>
      <c r="D86" s="18">
        <f>IF(AND('Part VI-Pro Forma'!$G$9="Yes",'Part VI-Pro Forma'!$G$10="Yes"),"Choose One!",IF('Part VI-Pro Forma'!$G$9="Yes",ROUND((-$K$9*(1+'Part VI-Pro Forma'!$B$7)^('Part VI-Pro Forma'!D78-1)),),IF('Part VI-Pro Forma'!$G$10="Yes",ROUND((-(SUM(D79:D82)*'Part VI-Pro Forma'!$K$10)),),"Choose mgt fee")))</f>
        <v>-51633</v>
      </c>
      <c r="E86" s="18">
        <f>IF(AND('Part VI-Pro Forma'!$G$9="Yes",'Part VI-Pro Forma'!$G$10="Yes"),"Choose One!",IF('Part VI-Pro Forma'!$G$9="Yes",ROUND((-$K$9*(1+'Part VI-Pro Forma'!$B$7)^('Part VI-Pro Forma'!E78-1)),),IF('Part VI-Pro Forma'!$G$10="Yes",ROUND((-(SUM(E79:E82)*'Part VI-Pro Forma'!$K$10)),),"Choose mgt fee")))</f>
        <v>-52666</v>
      </c>
      <c r="F86" s="18">
        <f>IF(AND('Part VI-Pro Forma'!$G$9="Yes",'Part VI-Pro Forma'!$G$10="Yes"),"Choose One!",IF('Part VI-Pro Forma'!$G$9="Yes",ROUND((-$K$9*(1+'Part VI-Pro Forma'!$B$7)^('Part VI-Pro Forma'!F78-1)),),IF('Part VI-Pro Forma'!$G$10="Yes",ROUND((-(SUM(F79:F82)*'Part VI-Pro Forma'!$K$10)),),"Choose mgt fee")))</f>
        <v>-53719</v>
      </c>
      <c r="G86" s="18">
        <f>IF(AND('Part VI-Pro Forma'!$G$9="Yes",'Part VI-Pro Forma'!$G$10="Yes"),"Choose One!",IF('Part VI-Pro Forma'!$G$9="Yes",ROUND((-$K$9*(1+'Part VI-Pro Forma'!$B$7)^('Part VI-Pro Forma'!G78-1)),),IF('Part VI-Pro Forma'!$G$10="Yes",ROUND((-(SUM(G79:G82)*'Part VI-Pro Forma'!$K$10)),),"Choose mgt fee")))</f>
        <v>-54794</v>
      </c>
      <c r="H86" s="18">
        <f>IF(AND('Part VI-Pro Forma'!$G$9="Yes",'Part VI-Pro Forma'!$G$10="Yes"),"Choose One!",IF('Part VI-Pro Forma'!$G$9="Yes",ROUND((-$K$9*(1+'Part VI-Pro Forma'!$B$7)^('Part VI-Pro Forma'!H78-1)),),IF('Part VI-Pro Forma'!$G$10="Yes",ROUND((-(SUM(H79:H82)*'Part VI-Pro Forma'!$K$10)),),"Choose mgt fee")))</f>
        <v>-55890</v>
      </c>
      <c r="I86" s="18">
        <f>IF(AND('Part VI-Pro Forma'!$G$9="Yes",'Part VI-Pro Forma'!$G$10="Yes"),"Choose One!",IF('Part VI-Pro Forma'!$G$9="Yes",ROUND((-$K$9*(1+'Part VI-Pro Forma'!$B$7)^('Part VI-Pro Forma'!I78-1)),),IF('Part VI-Pro Forma'!$G$10="Yes",ROUND((-(SUM(I79:I82)*'Part VI-Pro Forma'!$K$10)),),"Choose mgt fee")))</f>
        <v>-57008</v>
      </c>
      <c r="J86" s="18">
        <f>IF(AND('Part VI-Pro Forma'!$G$9="Yes",'Part VI-Pro Forma'!$G$10="Yes"),"Choose One!",IF('Part VI-Pro Forma'!$G$9="Yes",ROUND((-$K$9*(1+'Part VI-Pro Forma'!$B$7)^('Part VI-Pro Forma'!J78-1)),),IF('Part VI-Pro Forma'!$G$10="Yes",ROUND((-(SUM(J79:J82)*'Part VI-Pro Forma'!$K$10)),),"Choose mgt fee")))</f>
        <v>-58148</v>
      </c>
      <c r="K86" s="19">
        <f>IF(AND('Part VI-Pro Forma'!$G$9="Yes",'Part VI-Pro Forma'!$G$10="Yes"),"Choose One!",IF('Part VI-Pro Forma'!$G$9="Yes",ROUND((-$K$9*(1+'Part VI-Pro Forma'!$B$7)^('Part VI-Pro Forma'!K78-1)),),IF('Part VI-Pro Forma'!$G$10="Yes",ROUND((-(SUM(K79:K82)*'Part VI-Pro Forma'!$K$10)),),"Choose mgt fee")))</f>
        <v>-59311</v>
      </c>
      <c r="N86" s="3488"/>
      <c r="O86" s="3490"/>
      <c r="Z86" s="1631" t="s">
        <v>4359</v>
      </c>
      <c r="AA86" s="1633">
        <v>86</v>
      </c>
    </row>
    <row r="87" spans="1:27" ht="13.35" customHeight="1">
      <c r="A87" s="17" t="s">
        <v>1127</v>
      </c>
      <c r="B87" s="18">
        <f t="shared" ref="B87:K87" si="48">$B$23*(1+$B$8)^(B78-1)</f>
        <v>-27091.668520041199</v>
      </c>
      <c r="C87" s="18">
        <f t="shared" si="48"/>
        <v>-27904.41857564243</v>
      </c>
      <c r="D87" s="18">
        <f t="shared" si="48"/>
        <v>-28741.551132911707</v>
      </c>
      <c r="E87" s="18">
        <f t="shared" si="48"/>
        <v>-29603.79766689906</v>
      </c>
      <c r="F87" s="18">
        <f t="shared" si="48"/>
        <v>-30491.911596906026</v>
      </c>
      <c r="G87" s="18">
        <f t="shared" si="48"/>
        <v>-31406.668944813209</v>
      </c>
      <c r="H87" s="18">
        <f t="shared" si="48"/>
        <v>-32348.869013157608</v>
      </c>
      <c r="I87" s="18">
        <f t="shared" si="48"/>
        <v>-33319.335083552331</v>
      </c>
      <c r="J87" s="18">
        <f t="shared" si="48"/>
        <v>-34318.915136058902</v>
      </c>
      <c r="K87" s="19">
        <f t="shared" si="48"/>
        <v>-35348.482590140666</v>
      </c>
      <c r="N87" s="3488"/>
      <c r="O87" s="3490"/>
      <c r="Q87" s="92"/>
      <c r="R87" s="856"/>
      <c r="S87" s="856"/>
      <c r="Z87" s="1631" t="s">
        <v>4359</v>
      </c>
      <c r="AA87" s="1633">
        <v>87</v>
      </c>
    </row>
    <row r="88" spans="1:27" ht="13.35" customHeight="1">
      <c r="A88" s="340" t="s">
        <v>3712</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8"/>
      <c r="O88" s="3490"/>
      <c r="Z88" s="1631" t="s">
        <v>4359</v>
      </c>
      <c r="AA88" s="1633">
        <v>88</v>
      </c>
    </row>
    <row r="89" spans="1:27" ht="13.35" customHeight="1">
      <c r="A89" s="17" t="s">
        <v>1128</v>
      </c>
      <c r="B89" s="18">
        <f t="shared" ref="B89:K89" si="49">SUM(B84:B88)</f>
        <v>254195.90955866905</v>
      </c>
      <c r="C89" s="18">
        <f t="shared" si="49"/>
        <v>254046.21656961241</v>
      </c>
      <c r="D89" s="18">
        <f t="shared" si="49"/>
        <v>253737.39458536799</v>
      </c>
      <c r="E89" s="18">
        <f t="shared" si="49"/>
        <v>253259.93117196916</v>
      </c>
      <c r="F89" s="18">
        <f t="shared" si="49"/>
        <v>252607.02235114959</v>
      </c>
      <c r="G89" s="18">
        <f t="shared" si="49"/>
        <v>251768.5625305858</v>
      </c>
      <c r="H89" s="18">
        <f t="shared" si="49"/>
        <v>250737.1341055829</v>
      </c>
      <c r="I89" s="18">
        <f t="shared" si="49"/>
        <v>249502.99672181153</v>
      </c>
      <c r="J89" s="18">
        <f t="shared" si="49"/>
        <v>248057.07618838866</v>
      </c>
      <c r="K89" s="1156">
        <f t="shared" si="49"/>
        <v>246388.95303026098</v>
      </c>
      <c r="N89" s="3488"/>
      <c r="O89" s="3490"/>
      <c r="Z89" s="1631" t="s">
        <v>4359</v>
      </c>
      <c r="AA89" s="1633">
        <v>89</v>
      </c>
    </row>
    <row r="90" spans="1:27" ht="13.35" customHeight="1">
      <c r="A90" s="17" t="str">
        <f>$A58</f>
        <v>Mortgage A</v>
      </c>
      <c r="B90" s="341">
        <f>IF('Part II-Sources of Funds'!$P$40="", 0,-'Part II-Sources of Funds'!$P$40)</f>
        <v>-178627.64290489111</v>
      </c>
      <c r="C90" s="341">
        <f>IF('Part II-Sources of Funds'!$P$40="", 0,-'Part II-Sources of Funds'!$P$40)</f>
        <v>-178627.64290489111</v>
      </c>
      <c r="D90" s="341">
        <f>IF('Part II-Sources of Funds'!$P$40="", 0,-'Part II-Sources of Funds'!$P$40)</f>
        <v>-178627.64290489111</v>
      </c>
      <c r="E90" s="341">
        <f>IF('Part II-Sources of Funds'!$P$40="", 0,-'Part II-Sources of Funds'!$P$40)</f>
        <v>-178627.64290489111</v>
      </c>
      <c r="F90" s="341">
        <f>IF('Part II-Sources of Funds'!$P$40="", 0,-'Part II-Sources of Funds'!$P$40)</f>
        <v>-178627.64290489111</v>
      </c>
      <c r="G90" s="341">
        <f>IF('Part II-Sources of Funds'!$P$40="", 0,-'Part II-Sources of Funds'!$P$40)</f>
        <v>-178627.64290489111</v>
      </c>
      <c r="H90" s="341">
        <f>IF('Part II-Sources of Funds'!$P$40="", 0,-'Part II-Sources of Funds'!$P$40)</f>
        <v>-178627.64290489111</v>
      </c>
      <c r="I90" s="341">
        <f>IF('Part II-Sources of Funds'!$P$40="", 0,-'Part II-Sources of Funds'!$P$40)</f>
        <v>-178627.64290489111</v>
      </c>
      <c r="J90" s="341">
        <f>IF('Part II-Sources of Funds'!$P$40="", 0,-'Part II-Sources of Funds'!$P$40)</f>
        <v>-178627.64290489111</v>
      </c>
      <c r="K90" s="341">
        <f>IF('Part II-Sources of Funds'!$P$40="", 0,-'Part II-Sources of Funds'!$P$40)</f>
        <v>-178627.64290489111</v>
      </c>
      <c r="N90" s="3488"/>
      <c r="O90" s="3490"/>
      <c r="Z90" s="1631" t="s">
        <v>4359</v>
      </c>
      <c r="AA90" s="1633">
        <v>90</v>
      </c>
    </row>
    <row r="91" spans="1:27" ht="13.35" customHeight="1">
      <c r="A91" s="17" t="str">
        <f>$A59</f>
        <v>Mortgage B</v>
      </c>
      <c r="B91" s="178">
        <f>-0.25*(B89+B90+B95)</f>
        <v>-18892.066663444486</v>
      </c>
      <c r="C91" s="178">
        <f t="shared" ref="C91" si="50">-0.25*(C89+C90+C95)</f>
        <v>-18854.643416180326</v>
      </c>
      <c r="D91" s="178">
        <f t="shared" ref="D91" si="51">-0.25*(D89+D90+D95)</f>
        <v>-18777.437920119221</v>
      </c>
      <c r="E91" s="178">
        <f t="shared" ref="E91" si="52">-0.25*(E89+E90+E95)</f>
        <v>-18658.072066769513</v>
      </c>
      <c r="F91" s="178">
        <f t="shared" ref="F91" si="53">-0.25*(F89+F90+F95)</f>
        <v>-18494.844861564619</v>
      </c>
      <c r="G91" s="178">
        <f t="shared" ref="G91" si="54">-0.25*(G89+G90+G95)</f>
        <v>-18285.229906423672</v>
      </c>
      <c r="H91" s="178">
        <f t="shared" ref="H91" si="55">-0.25*(H89+H90+H95)</f>
        <v>-18027.372800172947</v>
      </c>
      <c r="I91" s="178">
        <f t="shared" ref="I91" si="56">-0.25*(I89+I90+I95)</f>
        <v>-17718.838454230106</v>
      </c>
      <c r="J91" s="178">
        <f t="shared" ref="J91" si="57">-0.25*(J89+J90+J95)</f>
        <v>-17357.358320874388</v>
      </c>
      <c r="K91" s="178">
        <f t="shared" ref="K91" si="58">-0.25*(K89+K90+K95)</f>
        <v>-16940.327531342467</v>
      </c>
      <c r="N91" s="3488"/>
      <c r="O91" s="3490"/>
      <c r="Z91" s="1631" t="s">
        <v>4359</v>
      </c>
      <c r="AA91" s="1633">
        <v>91</v>
      </c>
    </row>
    <row r="92" spans="1:27" ht="13.35" customHeight="1">
      <c r="A92" s="17" t="str">
        <f>$A60</f>
        <v>Mortgage C</v>
      </c>
      <c r="B92" s="178">
        <v>0</v>
      </c>
      <c r="C92" s="178">
        <v>0</v>
      </c>
      <c r="D92" s="178">
        <v>0</v>
      </c>
      <c r="E92" s="178">
        <v>0</v>
      </c>
      <c r="F92" s="178">
        <v>0</v>
      </c>
      <c r="G92" s="178">
        <v>0</v>
      </c>
      <c r="H92" s="178">
        <v>0</v>
      </c>
      <c r="I92" s="178">
        <v>0</v>
      </c>
      <c r="J92" s="178">
        <v>0</v>
      </c>
      <c r="K92" s="178">
        <v>0</v>
      </c>
      <c r="N92" s="3488"/>
      <c r="O92" s="3490"/>
      <c r="Z92" s="1631" t="s">
        <v>4359</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8"/>
      <c r="O93" s="3490"/>
      <c r="Z93" s="1631" t="s">
        <v>4359</v>
      </c>
      <c r="AA93" s="1633">
        <v>93</v>
      </c>
    </row>
    <row r="94" spans="1:27" ht="13.35" customHeight="1">
      <c r="A94" s="17" t="s">
        <v>710</v>
      </c>
      <c r="B94" s="138"/>
      <c r="C94" s="138"/>
      <c r="D94" s="138"/>
      <c r="E94" s="138"/>
      <c r="F94" s="138"/>
      <c r="G94" s="138"/>
      <c r="H94" s="138"/>
      <c r="I94" s="138"/>
      <c r="J94" s="138"/>
      <c r="K94" s="138"/>
      <c r="N94" s="3488"/>
      <c r="O94" s="3490"/>
      <c r="Z94" s="1631" t="s">
        <v>4359</v>
      </c>
      <c r="AA94" s="1633">
        <v>94</v>
      </c>
    </row>
    <row r="95" spans="1:27" ht="13.35" customHeight="1">
      <c r="A95" s="340" t="s">
        <v>1094</v>
      </c>
      <c r="B95" s="179">
        <f>+K63</f>
        <v>0</v>
      </c>
      <c r="C95" s="179">
        <f t="shared" ref="C95:K95" si="59">+B95</f>
        <v>0</v>
      </c>
      <c r="D95" s="179">
        <f t="shared" si="59"/>
        <v>0</v>
      </c>
      <c r="E95" s="179">
        <f t="shared" si="59"/>
        <v>0</v>
      </c>
      <c r="F95" s="179">
        <f t="shared" si="59"/>
        <v>0</v>
      </c>
      <c r="G95" s="179">
        <f t="shared" si="59"/>
        <v>0</v>
      </c>
      <c r="H95" s="179">
        <f t="shared" si="59"/>
        <v>0</v>
      </c>
      <c r="I95" s="179">
        <f t="shared" si="59"/>
        <v>0</v>
      </c>
      <c r="J95" s="179">
        <f t="shared" si="59"/>
        <v>0</v>
      </c>
      <c r="K95" s="179">
        <f t="shared" si="59"/>
        <v>0</v>
      </c>
      <c r="N95" s="3488"/>
      <c r="O95" s="3490"/>
      <c r="Z95" s="1631" t="s">
        <v>4359</v>
      </c>
      <c r="AA95" s="1633">
        <v>95</v>
      </c>
    </row>
    <row r="96" spans="1:27" ht="13.35" customHeight="1">
      <c r="A96" s="17" t="s">
        <v>1095</v>
      </c>
      <c r="B96" s="18">
        <f t="shared" ref="B96:K96" si="60">SUM(B89:B95)</f>
        <v>56676.199990333458</v>
      </c>
      <c r="C96" s="18">
        <f t="shared" si="60"/>
        <v>56563.930248540979</v>
      </c>
      <c r="D96" s="18">
        <f t="shared" si="60"/>
        <v>56332.313760357662</v>
      </c>
      <c r="E96" s="18">
        <f t="shared" si="60"/>
        <v>55974.21620030854</v>
      </c>
      <c r="F96" s="18">
        <f t="shared" si="60"/>
        <v>55484.534584693858</v>
      </c>
      <c r="G96" s="18">
        <f t="shared" si="60"/>
        <v>54855.689719271017</v>
      </c>
      <c r="H96" s="18">
        <f t="shared" si="60"/>
        <v>54082.118400518841</v>
      </c>
      <c r="I96" s="18">
        <f t="shared" si="60"/>
        <v>53156.515362690319</v>
      </c>
      <c r="J96" s="18">
        <f t="shared" si="60"/>
        <v>52072.074962623163</v>
      </c>
      <c r="K96" s="19">
        <f t="shared" si="60"/>
        <v>50820.982594027402</v>
      </c>
      <c r="N96" s="3488"/>
      <c r="O96" s="3490"/>
      <c r="Z96" s="1631" t="s">
        <v>4359</v>
      </c>
      <c r="AA96" s="1633">
        <v>96</v>
      </c>
    </row>
    <row r="97" spans="1:27" ht="13.35" customHeight="1">
      <c r="A97" s="17" t="str">
        <f>$A66</f>
        <v>DCR Mortgage A</v>
      </c>
      <c r="B97" s="20">
        <f t="shared" ref="B97:K97" si="61">IF(B90=0,"",-B89/B90)</f>
        <v>1.4230491172859157</v>
      </c>
      <c r="C97" s="20">
        <f t="shared" si="61"/>
        <v>1.4222111003551523</v>
      </c>
      <c r="D97" s="20">
        <f t="shared" si="61"/>
        <v>1.4204822414886171</v>
      </c>
      <c r="E97" s="20">
        <f t="shared" si="61"/>
        <v>1.4178092878201132</v>
      </c>
      <c r="F97" s="20">
        <f t="shared" si="61"/>
        <v>1.4141541490621818</v>
      </c>
      <c r="G97" s="20">
        <f t="shared" si="61"/>
        <v>1.4094602517071673</v>
      </c>
      <c r="H97" s="20">
        <f t="shared" si="61"/>
        <v>1.4036860702410205</v>
      </c>
      <c r="I97" s="20">
        <f t="shared" si="61"/>
        <v>1.3967770758451841</v>
      </c>
      <c r="J97" s="20">
        <f t="shared" si="61"/>
        <v>1.3886824690424018</v>
      </c>
      <c r="K97" s="21">
        <f t="shared" si="61"/>
        <v>1.3793439191348948</v>
      </c>
      <c r="N97" s="3488"/>
      <c r="O97" s="3490"/>
      <c r="Z97" s="1631" t="s">
        <v>4359</v>
      </c>
      <c r="AA97" s="1633">
        <v>97</v>
      </c>
    </row>
    <row r="98" spans="1:27" ht="13.35" customHeight="1">
      <c r="A98" s="17" t="str">
        <f>$A67</f>
        <v>DCR Mortgage B</v>
      </c>
      <c r="B98" s="20">
        <f t="shared" ref="B98:K98" si="62">IF(B91=0,"",-(B89+B90)/B91)</f>
        <v>4</v>
      </c>
      <c r="C98" s="20">
        <f t="shared" si="62"/>
        <v>4</v>
      </c>
      <c r="D98" s="20">
        <f t="shared" si="62"/>
        <v>4</v>
      </c>
      <c r="E98" s="20">
        <f t="shared" si="62"/>
        <v>4</v>
      </c>
      <c r="F98" s="20">
        <f t="shared" si="62"/>
        <v>4</v>
      </c>
      <c r="G98" s="20">
        <f t="shared" si="62"/>
        <v>4</v>
      </c>
      <c r="H98" s="20">
        <f t="shared" si="62"/>
        <v>4</v>
      </c>
      <c r="I98" s="20">
        <f t="shared" si="62"/>
        <v>4</v>
      </c>
      <c r="J98" s="20">
        <f t="shared" si="62"/>
        <v>4</v>
      </c>
      <c r="K98" s="21">
        <f t="shared" si="62"/>
        <v>4</v>
      </c>
      <c r="N98" s="3488"/>
      <c r="O98" s="3490"/>
      <c r="Z98" s="1631" t="s">
        <v>4359</v>
      </c>
      <c r="AA98" s="1633">
        <v>98</v>
      </c>
    </row>
    <row r="99" spans="1:27" ht="13.35" customHeight="1">
      <c r="A99" s="17" t="str">
        <f>$A68</f>
        <v>DCR Mortgage C</v>
      </c>
      <c r="B99" s="20" t="str">
        <f t="shared" ref="B99:K99" si="63">IF(B92=0,"",-(B89+B90+B91)/B92)</f>
        <v/>
      </c>
      <c r="C99" s="20" t="str">
        <f t="shared" si="63"/>
        <v/>
      </c>
      <c r="D99" s="20" t="str">
        <f t="shared" si="63"/>
        <v/>
      </c>
      <c r="E99" s="20" t="str">
        <f t="shared" si="63"/>
        <v/>
      </c>
      <c r="F99" s="20" t="str">
        <f t="shared" si="63"/>
        <v/>
      </c>
      <c r="G99" s="20" t="str">
        <f t="shared" si="63"/>
        <v/>
      </c>
      <c r="H99" s="20" t="str">
        <f t="shared" si="63"/>
        <v/>
      </c>
      <c r="I99" s="20" t="str">
        <f t="shared" si="63"/>
        <v/>
      </c>
      <c r="J99" s="20" t="str">
        <f t="shared" si="63"/>
        <v/>
      </c>
      <c r="K99" s="21" t="str">
        <f t="shared" si="63"/>
        <v/>
      </c>
      <c r="N99" s="3488"/>
      <c r="O99" s="3490"/>
      <c r="Z99" s="1631" t="s">
        <v>4359</v>
      </c>
      <c r="AA99" s="1633">
        <v>99</v>
      </c>
    </row>
    <row r="100" spans="1:27" ht="13.35" customHeight="1">
      <c r="A100" s="17" t="str">
        <f>$A69</f>
        <v>DCR Other Source</v>
      </c>
      <c r="B100" s="20" t="str">
        <f t="shared" ref="B100:K100" si="64">IF(B93=0,"",-(B89+B90+B91+B92)/B93)</f>
        <v/>
      </c>
      <c r="C100" s="20" t="str">
        <f t="shared" si="64"/>
        <v/>
      </c>
      <c r="D100" s="20" t="str">
        <f t="shared" si="64"/>
        <v/>
      </c>
      <c r="E100" s="20" t="str">
        <f t="shared" si="64"/>
        <v/>
      </c>
      <c r="F100" s="20" t="str">
        <f t="shared" si="64"/>
        <v/>
      </c>
      <c r="G100" s="20" t="str">
        <f t="shared" si="64"/>
        <v/>
      </c>
      <c r="H100" s="20" t="str">
        <f t="shared" si="64"/>
        <v/>
      </c>
      <c r="I100" s="20" t="str">
        <f t="shared" si="64"/>
        <v/>
      </c>
      <c r="J100" s="20" t="str">
        <f t="shared" si="64"/>
        <v/>
      </c>
      <c r="K100" s="21" t="str">
        <f t="shared" si="64"/>
        <v/>
      </c>
      <c r="N100" s="3488"/>
      <c r="O100" s="3490"/>
      <c r="Z100" s="1631" t="s">
        <v>4359</v>
      </c>
      <c r="AA100" s="1633">
        <v>100</v>
      </c>
    </row>
    <row r="101" spans="1:27" ht="13.35" customHeight="1">
      <c r="A101" s="340" t="s">
        <v>3130</v>
      </c>
      <c r="B101" s="20">
        <f t="shared" ref="B101:K101" si="65">IF(AND(B90=0,B91=0,B92=0,B93=0),"",-B89/(B90+B91+B92+B93))</f>
        <v>1.2869394660117466</v>
      </c>
      <c r="C101" s="20">
        <f t="shared" si="65"/>
        <v>1.2864253361771292</v>
      </c>
      <c r="D101" s="20">
        <f t="shared" si="65"/>
        <v>1.2853640520544325</v>
      </c>
      <c r="E101" s="20">
        <f t="shared" si="65"/>
        <v>1.283721587284457</v>
      </c>
      <c r="F101" s="20">
        <f t="shared" si="65"/>
        <v>1.2814723739202709</v>
      </c>
      <c r="G101" s="20">
        <f t="shared" si="65"/>
        <v>1.2785784846673518</v>
      </c>
      <c r="H101" s="20">
        <f t="shared" si="65"/>
        <v>1.2750101145735799</v>
      </c>
      <c r="I101" s="20">
        <f t="shared" si="65"/>
        <v>1.2707281281270639</v>
      </c>
      <c r="J101" s="20">
        <f t="shared" si="65"/>
        <v>1.2656941839270577</v>
      </c>
      <c r="K101" s="21">
        <f t="shared" si="65"/>
        <v>1.2598635271443797</v>
      </c>
      <c r="N101" s="3488"/>
      <c r="O101" s="3490"/>
      <c r="Z101" s="1631" t="s">
        <v>4359</v>
      </c>
      <c r="AA101" s="1633">
        <v>101</v>
      </c>
    </row>
    <row r="102" spans="1:27" ht="13.35" customHeight="1">
      <c r="A102" s="17" t="s">
        <v>717</v>
      </c>
      <c r="B102" s="220">
        <f>IF(OR(B86="Choose mgt fee",B86="Choose One!"),"",(B79+B80+B81+B82+B83) / -(B85+B86+B87))</f>
        <v>1.443665373109031</v>
      </c>
      <c r="C102" s="220">
        <f t="shared" ref="C102:K102" si="66">IF(OR(C86="Choose mgt fee",C86="Choose One!"),"",(C79+C80+C81+C82+C83) / -(C85+C86+C87))</f>
        <v>1.4308514297092902</v>
      </c>
      <c r="D102" s="220">
        <f t="shared" si="66"/>
        <v>1.4181426782461337</v>
      </c>
      <c r="E102" s="220">
        <f t="shared" si="66"/>
        <v>1.4055346437218939</v>
      </c>
      <c r="F102" s="220">
        <f t="shared" si="66"/>
        <v>1.3930299211537649</v>
      </c>
      <c r="G102" s="220">
        <f t="shared" si="66"/>
        <v>1.3806243969834846</v>
      </c>
      <c r="H102" s="220">
        <f t="shared" si="66"/>
        <v>1.3683205069627968</v>
      </c>
      <c r="I102" s="220">
        <f t="shared" si="66"/>
        <v>1.3561163938051772</v>
      </c>
      <c r="J102" s="220">
        <f t="shared" si="66"/>
        <v>1.3440122527985594</v>
      </c>
      <c r="K102" s="221">
        <f t="shared" si="66"/>
        <v>1.3320063787539573</v>
      </c>
      <c r="N102" s="3488"/>
      <c r="O102" s="3490"/>
      <c r="Z102" s="1631" t="s">
        <v>4359</v>
      </c>
      <c r="AA102" s="1633">
        <v>102</v>
      </c>
    </row>
    <row r="103" spans="1:27" ht="13.35" customHeight="1">
      <c r="A103" s="340" t="s">
        <v>2399</v>
      </c>
      <c r="B103" s="177">
        <f>IF('Part II-Sources of Funds'!$I$40="","",-FV('Part II-Sources of Funds'!$K$40/12,12,B90/12,K72))</f>
        <v>1773738.2778774172</v>
      </c>
      <c r="C103" s="177">
        <f>IF('Part II-Sources of Funds'!$I$40="","",-FV('Part II-Sources of Funds'!$K$40/12,12,C90/12,B103))</f>
        <v>1731081.2712474081</v>
      </c>
      <c r="D103" s="177">
        <f>IF('Part II-Sources of Funds'!$I$40="","",-FV('Part II-Sources of Funds'!$K$40/12,12,D90/12,C103))</f>
        <v>1684998.35253893</v>
      </c>
      <c r="E103" s="177">
        <f>IF('Part II-Sources of Funds'!$I$40="","",-FV('Part II-Sources of Funds'!$K$40/12,12,E90/12,D103))</f>
        <v>1635214.3764828551</v>
      </c>
      <c r="F103" s="177">
        <f>IF('Part II-Sources of Funds'!$I$40="","",-FV('Part II-Sources of Funds'!$K$40/12,12,F90/12,E103))</f>
        <v>1581432.1000686688</v>
      </c>
      <c r="G103" s="177">
        <f>IF('Part II-Sources of Funds'!$I$40="","",-FV('Part II-Sources of Funds'!$K$40/12,12,G90/12,F103))</f>
        <v>1523330.4078086154</v>
      </c>
      <c r="H103" s="177">
        <f>IF('Part II-Sources of Funds'!$I$40="","",-FV('Part II-Sources of Funds'!$K$40/12,12,H90/12,G103))</f>
        <v>1460562.3944674858</v>
      </c>
      <c r="I103" s="177">
        <f>IF('Part II-Sources of Funds'!$I$40="","",-FV('Part II-Sources of Funds'!$K$40/12,12,I90/12,H103))</f>
        <v>1392753.2938106889</v>
      </c>
      <c r="J103" s="177">
        <f>IF('Part II-Sources of Funds'!$I$40="","",-FV('Part II-Sources of Funds'!$K$40/12,12,J90/12,I103))</f>
        <v>1319498.2410038689</v>
      </c>
      <c r="K103" s="177">
        <f>IF('Part II-Sources of Funds'!$I$40="","",-FV('Part II-Sources of Funds'!$K$40/12,12,K90/12,J103))</f>
        <v>1240359.8553041304</v>
      </c>
      <c r="N103" s="3488"/>
      <c r="O103" s="3490"/>
      <c r="Z103" s="1631" t="s">
        <v>4359</v>
      </c>
      <c r="AA103" s="1633">
        <v>103</v>
      </c>
    </row>
    <row r="104" spans="1:27" ht="13.35" customHeight="1">
      <c r="A104" s="340" t="s">
        <v>2400</v>
      </c>
      <c r="B104" s="178">
        <f>IF('Part II-Sources of Funds'!$I$41="","",-FV('Part II-Sources of Funds'!$K$41/12,12,B91/12,K73))</f>
        <v>659200.34176883264</v>
      </c>
      <c r="C104" s="178">
        <f>IF('Part II-Sources of Funds'!$I$41="","",-FV('Part II-Sources of Funds'!$K$41/12,12,C91/12,B104))</f>
        <v>666852.99918630673</v>
      </c>
      <c r="D104" s="178">
        <f>IF('Part II-Sources of Funds'!$I$41="","",-FV('Part II-Sources of Funds'!$K$41/12,12,D91/12,C104))</f>
        <v>674896.07445019076</v>
      </c>
      <c r="E104" s="178">
        <f>IF('Part II-Sources of Funds'!$I$41="","",-FV('Part II-Sources of Funds'!$K$41/12,12,E91/12,D104))</f>
        <v>683388.4157360805</v>
      </c>
      <c r="F104" s="178">
        <f>IF('Part II-Sources of Funds'!$I$41="","",-FV('Part II-Sources of Funds'!$K$41/12,12,F91/12,E104))</f>
        <v>692393.00131362211</v>
      </c>
      <c r="G104" s="178">
        <f>IF('Part II-Sources of Funds'!$I$41="","",-FV('Part II-Sources of Funds'!$K$41/12,12,G91/12,F104))</f>
        <v>701977.94851823372</v>
      </c>
      <c r="H104" s="178">
        <f>IF('Part II-Sources of Funds'!$I$41="","",-FV('Part II-Sources of Funds'!$K$41/12,12,H91/12,G104))</f>
        <v>712216.03866980318</v>
      </c>
      <c r="I104" s="178">
        <f>IF('Part II-Sources of Funds'!$I$41="","",-FV('Part II-Sources of Funds'!$K$41/12,12,I91/12,H104))</f>
        <v>723185.49854313594</v>
      </c>
      <c r="J104" s="178">
        <f>IF('Part II-Sources of Funds'!$I$41="","",-FV('Part II-Sources of Funds'!$K$41/12,12,J91/12,I104))</f>
        <v>734970.05259589909</v>
      </c>
      <c r="K104" s="178">
        <f>IF('Part II-Sources of Funds'!$I$41="","",-FV('Part II-Sources of Funds'!$K$41/12,12,K91/12,J104))</f>
        <v>747659.4895086583</v>
      </c>
      <c r="N104" s="3488"/>
      <c r="O104" s="3490"/>
      <c r="Z104" s="1631" t="s">
        <v>4359</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8"/>
      <c r="O105" s="3490"/>
      <c r="Z105" s="1631" t="s">
        <v>4359</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4359</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54" t="s">
        <v>3122</v>
      </c>
      <c r="O108" s="3154"/>
      <c r="AA108" s="1633">
        <v>108</v>
      </c>
    </row>
    <row r="109" spans="1:27" ht="13.35" customHeight="1">
      <c r="A109" s="14" t="s">
        <v>2209</v>
      </c>
      <c r="B109" s="15">
        <f>$B$15*(1+$B$6)^(B108-1)</f>
        <v>1071492.8314604978</v>
      </c>
      <c r="C109" s="15">
        <f>$B$15*(1+$B$6)^(C108-1)</f>
        <v>1092922.6880897074</v>
      </c>
      <c r="D109" s="15">
        <f>$B$15*(1+$B$6)^(D108-1)</f>
        <v>1114781.1418515018</v>
      </c>
      <c r="E109" s="15">
        <f>$B$15*(1+$B$6)^(E108-1)</f>
        <v>1137076.7646885319</v>
      </c>
      <c r="F109" s="496">
        <f>$B$15*(1+$B$6)^(F108-1)</f>
        <v>1159818.2999823024</v>
      </c>
      <c r="G109" s="13"/>
      <c r="H109" s="13"/>
      <c r="I109" s="13"/>
      <c r="J109" s="13"/>
      <c r="K109" s="13"/>
      <c r="N109" s="3508"/>
      <c r="O109" s="3510"/>
      <c r="Z109" s="1631" t="s">
        <v>4360</v>
      </c>
      <c r="AA109" s="1633">
        <v>109</v>
      </c>
    </row>
    <row r="110" spans="1:27" ht="13.35" customHeight="1">
      <c r="A110" s="17" t="s">
        <v>951</v>
      </c>
      <c r="B110" s="18">
        <f>$B$16*(1+$B$6)^(B108-1)</f>
        <v>12679.531088723474</v>
      </c>
      <c r="C110" s="18">
        <f>$B$16*(1+$B$6)^(C108-1)</f>
        <v>12933.121710497941</v>
      </c>
      <c r="D110" s="18">
        <f>$B$16*(1+$B$6)^(D108-1)</f>
        <v>13191.784144707903</v>
      </c>
      <c r="E110" s="18">
        <f>$B$16*(1+$B$6)^(E108-1)</f>
        <v>13455.61982760206</v>
      </c>
      <c r="F110" s="19">
        <f>$B$16*(1+$B$6)^(F108-1)</f>
        <v>13724.732224154101</v>
      </c>
      <c r="G110" s="13"/>
      <c r="H110" s="13"/>
      <c r="I110" s="13"/>
      <c r="J110" s="13"/>
      <c r="K110" s="13"/>
      <c r="N110" s="3488"/>
      <c r="O110" s="3490"/>
      <c r="Z110" s="1631" t="s">
        <v>4360</v>
      </c>
      <c r="AA110" s="1633">
        <v>110</v>
      </c>
    </row>
    <row r="111" spans="1:27" ht="13.35" customHeight="1">
      <c r="A111" s="17" t="s">
        <v>2210</v>
      </c>
      <c r="B111" s="18">
        <f>-(B109+B110)*$B$9</f>
        <v>-75892.065378445506</v>
      </c>
      <c r="C111" s="18">
        <f>-(C109+C110)*$B$9</f>
        <v>-77409.906686014379</v>
      </c>
      <c r="D111" s="18">
        <f>-(D109+D110)*$B$9</f>
        <v>-78958.104819734683</v>
      </c>
      <c r="E111" s="18">
        <f>-(E109+E110)*$B$9</f>
        <v>-80537.266916129389</v>
      </c>
      <c r="F111" s="19">
        <f>-(F109+F110)*$B$9</f>
        <v>-82148.012254451955</v>
      </c>
      <c r="G111" s="13"/>
      <c r="H111" s="13"/>
      <c r="I111" s="13"/>
      <c r="J111" s="13"/>
      <c r="K111" s="13"/>
      <c r="N111" s="3488"/>
      <c r="O111" s="3490"/>
      <c r="Z111" s="1631" t="s">
        <v>4360</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8"/>
      <c r="O112" s="3490"/>
      <c r="Z112" s="1631" t="s">
        <v>4360</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8"/>
      <c r="O113" s="3490"/>
      <c r="Z113" s="1631" t="s">
        <v>4360</v>
      </c>
      <c r="AA113" s="1633">
        <v>113</v>
      </c>
    </row>
    <row r="114" spans="1:27" ht="13.35" customHeight="1">
      <c r="A114" s="340" t="s">
        <v>3713</v>
      </c>
      <c r="B114" s="18">
        <f>SUM(B109:B113)</f>
        <v>1008280.2971707758</v>
      </c>
      <c r="C114" s="18">
        <f>SUM(C109:C113)</f>
        <v>1028445.9031141909</v>
      </c>
      <c r="D114" s="18">
        <f>SUM(D109:D113)</f>
        <v>1049014.8211764751</v>
      </c>
      <c r="E114" s="18">
        <f>SUM(E109:E113)</f>
        <v>1069995.1176000047</v>
      </c>
      <c r="F114" s="19">
        <f>SUM(F109:F113)</f>
        <v>1091395.0199520045</v>
      </c>
      <c r="G114" s="13"/>
      <c r="H114" s="13"/>
      <c r="I114" s="13"/>
      <c r="J114" s="13"/>
      <c r="K114" s="13"/>
      <c r="N114" s="3488"/>
      <c r="O114" s="3490"/>
      <c r="Z114" s="1631" t="s">
        <v>4360</v>
      </c>
      <c r="AA114" s="1633">
        <v>114</v>
      </c>
    </row>
    <row r="115" spans="1:27" ht="13.35" customHeight="1">
      <c r="A115" s="17" t="s">
        <v>571</v>
      </c>
      <c r="B115" s="18">
        <f>$B$21*(1+$B$7)^(B108-1)</f>
        <v>-666885.50943441642</v>
      </c>
      <c r="C115" s="18">
        <f>$B$21*(1+$B$7)^(C108-1)</f>
        <v>-686892.07471744902</v>
      </c>
      <c r="D115" s="18">
        <f>$B$21*(1+$B$7)^(D108-1)</f>
        <v>-707498.83695897239</v>
      </c>
      <c r="E115" s="18">
        <f>$B$21*(1+$B$7)^(E108-1)</f>
        <v>-728723.80206774164</v>
      </c>
      <c r="F115" s="19">
        <f>$B$21*(1+$B$7)^(F108-1)</f>
        <v>-750585.51612977369</v>
      </c>
      <c r="G115" s="13"/>
      <c r="H115" s="13"/>
      <c r="I115" s="13"/>
      <c r="J115" s="13"/>
      <c r="K115" s="13"/>
      <c r="N115" s="3488"/>
      <c r="O115" s="3490"/>
      <c r="Z115" s="1631" t="s">
        <v>4360</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-60497</v>
      </c>
      <c r="C116" s="18">
        <f>IF(AND('Part VI-Pro Forma'!$G$9="Yes",'Part VI-Pro Forma'!$G$10="Yes"),"Choose One!",IF('Part VI-Pro Forma'!$G$9="Yes",ROUND((-$K$9*(1+'Part VI-Pro Forma'!$B$7)^('Part VI-Pro Forma'!C108-1)),),IF('Part VI-Pro Forma'!$G$10="Yes",ROUND((-(SUM(C109:C112)*'Part VI-Pro Forma'!$K$10)),),"Choose mgt fee")))</f>
        <v>-61707</v>
      </c>
      <c r="D116" s="18">
        <f>IF(AND('Part VI-Pro Forma'!$G$9="Yes",'Part VI-Pro Forma'!$G$10="Yes"),"Choose One!",IF('Part VI-Pro Forma'!$G$9="Yes",ROUND((-$K$9*(1+'Part VI-Pro Forma'!$B$7)^('Part VI-Pro Forma'!D108-1)),),IF('Part VI-Pro Forma'!$G$10="Yes",ROUND((-(SUM(D109:D112)*'Part VI-Pro Forma'!$K$10)),),"Choose mgt fee")))</f>
        <v>-62941</v>
      </c>
      <c r="E116" s="18">
        <f>IF(AND('Part VI-Pro Forma'!$G$9="Yes",'Part VI-Pro Forma'!$G$10="Yes"),"Choose One!",IF('Part VI-Pro Forma'!$G$9="Yes",ROUND((-$K$9*(1+'Part VI-Pro Forma'!$B$7)^('Part VI-Pro Forma'!E108-1)),),IF('Part VI-Pro Forma'!$G$10="Yes",ROUND((-(SUM(E109:E112)*'Part VI-Pro Forma'!$K$10)),),"Choose mgt fee")))</f>
        <v>-64200</v>
      </c>
      <c r="F116" s="19">
        <f>IF(AND('Part VI-Pro Forma'!$G$9="Yes",'Part VI-Pro Forma'!$G$10="Yes"),"Choose One!",IF('Part VI-Pro Forma'!$G$9="Yes",ROUND((-$K$9*(1+'Part VI-Pro Forma'!$B$7)^('Part VI-Pro Forma'!F108-1)),),IF('Part VI-Pro Forma'!$G$10="Yes",ROUND((-(SUM(F109:F112)*'Part VI-Pro Forma'!$K$10)),),"Choose mgt fee")))</f>
        <v>-65484</v>
      </c>
      <c r="G116" s="13"/>
      <c r="H116" s="13"/>
      <c r="I116" s="13"/>
      <c r="J116" s="13"/>
      <c r="K116" s="13"/>
      <c r="N116" s="3488"/>
      <c r="O116" s="3490"/>
      <c r="Z116" s="1631" t="s">
        <v>4360</v>
      </c>
      <c r="AA116" s="1633">
        <v>116</v>
      </c>
    </row>
    <row r="117" spans="1:27" ht="13.35" customHeight="1">
      <c r="A117" s="17" t="s">
        <v>1127</v>
      </c>
      <c r="B117" s="18">
        <f>$B$23*(1+$B$8)^(B108-1)</f>
        <v>-36408.937067844883</v>
      </c>
      <c r="C117" s="18">
        <f>$B$23*(1+$B$8)^(C108-1)</f>
        <v>-37501.205179880242</v>
      </c>
      <c r="D117" s="18">
        <f>$B$23*(1+$B$8)^(D108-1)</f>
        <v>-38626.241335276638</v>
      </c>
      <c r="E117" s="18">
        <f>$B$23*(1+$B$8)^(E108-1)</f>
        <v>-39785.028575334938</v>
      </c>
      <c r="F117" s="19">
        <f>$B$23*(1+$B$8)^(F108-1)</f>
        <v>-40978.579432594983</v>
      </c>
      <c r="G117" s="13"/>
      <c r="H117" s="13"/>
      <c r="I117" s="13"/>
      <c r="J117" s="13"/>
      <c r="K117" s="13"/>
      <c r="N117" s="3488"/>
      <c r="O117" s="3490"/>
      <c r="Q117" s="92">
        <v>10</v>
      </c>
      <c r="R117" s="856">
        <f>-SUM(B123:K123)</f>
        <v>0</v>
      </c>
      <c r="S117" s="856">
        <f>SUM(B124:K124)+R117</f>
        <v>0</v>
      </c>
      <c r="Z117" s="1631" t="s">
        <v>4360</v>
      </c>
      <c r="AA117" s="1633">
        <v>117</v>
      </c>
    </row>
    <row r="118" spans="1:27" ht="13.35" customHeight="1">
      <c r="A118" s="340" t="s">
        <v>3712</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8"/>
      <c r="O118" s="3490"/>
      <c r="Z118" s="1631" t="s">
        <v>4360</v>
      </c>
      <c r="AA118" s="1633">
        <v>118</v>
      </c>
    </row>
    <row r="119" spans="1:27" ht="13.35" customHeight="1">
      <c r="A119" s="17" t="s">
        <v>1128</v>
      </c>
      <c r="B119" s="18">
        <f>SUM(B114:B118)</f>
        <v>244488.85066851453</v>
      </c>
      <c r="C119" s="18">
        <f>SUM(C114:C118)</f>
        <v>242345.62321686163</v>
      </c>
      <c r="D119" s="18">
        <f>SUM(D114:D118)</f>
        <v>239948.74288222613</v>
      </c>
      <c r="E119" s="18">
        <f>SUM(E114:E118)</f>
        <v>237286.28695692809</v>
      </c>
      <c r="F119" s="1156">
        <f>SUM(F114:F118)</f>
        <v>234346.92438963585</v>
      </c>
      <c r="G119" s="13"/>
      <c r="H119" s="13"/>
      <c r="I119" s="13"/>
      <c r="J119" s="13"/>
      <c r="K119" s="13"/>
      <c r="N119" s="3488"/>
      <c r="O119" s="3490"/>
      <c r="Z119" s="1631" t="s">
        <v>4360</v>
      </c>
      <c r="AA119" s="1633">
        <v>119</v>
      </c>
    </row>
    <row r="120" spans="1:27" ht="13.35" customHeight="1">
      <c r="A120" s="17" t="str">
        <f>$A90</f>
        <v>Mortgage A</v>
      </c>
      <c r="B120" s="341">
        <f>IF('Part II-Sources of Funds'!$P$40="", 0,-'Part II-Sources of Funds'!$P$40)</f>
        <v>-178627.64290489111</v>
      </c>
      <c r="C120" s="341">
        <f>IF('Part II-Sources of Funds'!$P$40="", 0,-'Part II-Sources of Funds'!$P$40)</f>
        <v>-178627.64290489111</v>
      </c>
      <c r="D120" s="341">
        <f>IF('Part II-Sources of Funds'!$P$40="", 0,-'Part II-Sources of Funds'!$P$40)</f>
        <v>-178627.64290489111</v>
      </c>
      <c r="E120" s="341">
        <f>IF('Part II-Sources of Funds'!$P$40="", 0,-'Part II-Sources of Funds'!$P$40)</f>
        <v>-178627.64290489111</v>
      </c>
      <c r="F120" s="341">
        <f>IF('Part II-Sources of Funds'!$P$40="", 0,-'Part II-Sources of Funds'!$P$40)</f>
        <v>-178627.64290489111</v>
      </c>
      <c r="G120" s="13"/>
      <c r="H120" s="13"/>
      <c r="I120" s="13"/>
      <c r="J120" s="13"/>
      <c r="K120" s="13"/>
      <c r="N120" s="3488"/>
      <c r="O120" s="3490"/>
      <c r="Z120" s="1631" t="s">
        <v>4360</v>
      </c>
      <c r="AA120" s="1633">
        <v>120</v>
      </c>
    </row>
    <row r="121" spans="1:27" ht="13.35" customHeight="1">
      <c r="A121" s="17" t="str">
        <f>$A91</f>
        <v>Mortgage B</v>
      </c>
      <c r="B121" s="178">
        <f>-0.25*(B119+B120+B125)</f>
        <v>-16465.301940905854</v>
      </c>
      <c r="C121" s="178">
        <f t="shared" ref="C121" si="67">-0.25*(C119+C120+C125)</f>
        <v>-15929.495077992629</v>
      </c>
      <c r="D121" s="178">
        <f t="shared" ref="D121" si="68">-0.25*(D119+D120+D125)</f>
        <v>-15330.274994333755</v>
      </c>
      <c r="E121" s="178">
        <f t="shared" ref="E121" si="69">-0.25*(E119+E120+E125)</f>
        <v>-14664.661013009245</v>
      </c>
      <c r="F121" s="178">
        <f t="shared" ref="F121" si="70">-0.25*(F119+F120+F125)</f>
        <v>-13929.820371186186</v>
      </c>
      <c r="G121" s="13"/>
      <c r="H121" s="13"/>
      <c r="I121" s="13"/>
      <c r="J121" s="13"/>
      <c r="K121" s="13"/>
      <c r="N121" s="3488"/>
      <c r="O121" s="3490"/>
      <c r="Z121" s="1631" t="s">
        <v>4360</v>
      </c>
      <c r="AA121" s="1633">
        <v>121</v>
      </c>
    </row>
    <row r="122" spans="1:27" ht="13.35" customHeight="1">
      <c r="A122" s="17" t="str">
        <f>$A92</f>
        <v>Mortgage C</v>
      </c>
      <c r="B122" s="178">
        <v>0</v>
      </c>
      <c r="C122" s="178">
        <v>0</v>
      </c>
      <c r="D122" s="178">
        <v>0</v>
      </c>
      <c r="E122" s="178">
        <v>0</v>
      </c>
      <c r="F122" s="178">
        <v>0</v>
      </c>
      <c r="G122" s="13"/>
      <c r="H122" s="13"/>
      <c r="I122" s="13"/>
      <c r="J122" s="13"/>
      <c r="K122" s="13"/>
      <c r="N122" s="3488"/>
      <c r="O122" s="3490"/>
      <c r="Z122" s="1631" t="s">
        <v>4360</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8"/>
      <c r="O123" s="3490"/>
      <c r="Z123" s="1631" t="s">
        <v>4360</v>
      </c>
      <c r="AA123" s="1633">
        <v>123</v>
      </c>
    </row>
    <row r="124" spans="1:27" ht="13.35" customHeight="1">
      <c r="A124" s="17" t="s">
        <v>710</v>
      </c>
      <c r="B124" s="138"/>
      <c r="C124" s="138"/>
      <c r="D124" s="138"/>
      <c r="E124" s="138"/>
      <c r="F124" s="138"/>
      <c r="G124" s="13"/>
      <c r="H124" s="13"/>
      <c r="I124" s="13"/>
      <c r="J124" s="13"/>
      <c r="K124" s="13"/>
      <c r="N124" s="3488"/>
      <c r="O124" s="3490"/>
      <c r="Z124" s="1631" t="s">
        <v>4360</v>
      </c>
      <c r="AA124" s="1633">
        <v>124</v>
      </c>
    </row>
    <row r="125" spans="1:27" ht="13.35" customHeight="1">
      <c r="A125" s="17" t="s">
        <v>1094</v>
      </c>
      <c r="B125" s="179">
        <f>+K95</f>
        <v>0</v>
      </c>
      <c r="C125" s="179">
        <f>+B125</f>
        <v>0</v>
      </c>
      <c r="D125" s="179">
        <f>+C125</f>
        <v>0</v>
      </c>
      <c r="E125" s="179">
        <f>+D125</f>
        <v>0</v>
      </c>
      <c r="F125" s="179">
        <f>+E125</f>
        <v>0</v>
      </c>
      <c r="G125" s="13"/>
      <c r="H125" s="13"/>
      <c r="I125" s="13"/>
      <c r="J125" s="13"/>
      <c r="K125" s="13"/>
      <c r="N125" s="3488"/>
      <c r="O125" s="3490"/>
      <c r="Z125" s="1631" t="s">
        <v>4360</v>
      </c>
      <c r="AA125" s="1633">
        <v>125</v>
      </c>
    </row>
    <row r="126" spans="1:27" ht="13.35" customHeight="1">
      <c r="A126" s="17" t="s">
        <v>1095</v>
      </c>
      <c r="B126" s="18">
        <f>SUM(B119:B125)</f>
        <v>49395.905822717563</v>
      </c>
      <c r="C126" s="18">
        <f>SUM(C119:C125)</f>
        <v>47788.485233977888</v>
      </c>
      <c r="D126" s="18">
        <f>SUM(D119:D125)</f>
        <v>45990.824983001265</v>
      </c>
      <c r="E126" s="18">
        <f>SUM(E119:E125)</f>
        <v>43993.983039027735</v>
      </c>
      <c r="F126" s="19">
        <f>SUM(F119:F125)</f>
        <v>41789.461113558558</v>
      </c>
      <c r="G126" s="13"/>
      <c r="H126" s="13"/>
      <c r="I126" s="13"/>
      <c r="J126" s="13"/>
      <c r="K126" s="13"/>
      <c r="N126" s="3488"/>
      <c r="O126" s="3490"/>
      <c r="Z126" s="1631" t="s">
        <v>4360</v>
      </c>
      <c r="AA126" s="1633">
        <v>126</v>
      </c>
    </row>
    <row r="127" spans="1:27" ht="13.35" customHeight="1">
      <c r="A127" s="17" t="str">
        <f>$A97</f>
        <v>DCR Mortgage A</v>
      </c>
      <c r="B127" s="20">
        <f>IF(B120=0,"",-B119/B120)</f>
        <v>1.3687066945102708</v>
      </c>
      <c r="C127" s="20">
        <f>IF(C120=0,"",-C119/C120)</f>
        <v>1.3567083978480121</v>
      </c>
      <c r="D127" s="20">
        <f>IF(D120=0,"",-D119/D120)</f>
        <v>1.343290092060303</v>
      </c>
      <c r="E127" s="20">
        <f>IF(E120=0,"",-E119/E120)</f>
        <v>1.3283850309958427</v>
      </c>
      <c r="F127" s="21">
        <f>IF(F120=0,"",-F119/F120)</f>
        <v>1.3119297807361878</v>
      </c>
      <c r="G127" s="13"/>
      <c r="H127" s="13"/>
      <c r="I127" s="13"/>
      <c r="J127" s="13"/>
      <c r="K127" s="13"/>
      <c r="N127" s="3488"/>
      <c r="O127" s="3490"/>
      <c r="Z127" s="1631" t="s">
        <v>4360</v>
      </c>
      <c r="AA127" s="1633">
        <v>127</v>
      </c>
    </row>
    <row r="128" spans="1:27" ht="13.35" customHeight="1">
      <c r="A128" s="17" t="str">
        <f>$A98</f>
        <v>DCR Mortgage B</v>
      </c>
      <c r="B128" s="20">
        <f>IF(B121=0,"",-(B119+B120)/B121)</f>
        <v>4</v>
      </c>
      <c r="C128" s="20">
        <f>IF(C121=0,"",-(C119+C120)/C121)</f>
        <v>4</v>
      </c>
      <c r="D128" s="20">
        <f>IF(D121=0,"",-(D119+D120)/D121)</f>
        <v>4</v>
      </c>
      <c r="E128" s="20">
        <f>IF(E121=0,"",-(E119+E120)/E121)</f>
        <v>4</v>
      </c>
      <c r="F128" s="21">
        <f>IF(F121=0,"",-(F119+F120)/F121)</f>
        <v>4</v>
      </c>
      <c r="G128" s="13"/>
      <c r="H128" s="13"/>
      <c r="I128" s="13"/>
      <c r="J128" s="13"/>
      <c r="K128" s="13"/>
      <c r="N128" s="3488"/>
      <c r="O128" s="3490"/>
      <c r="Z128" s="1631" t="s">
        <v>4360</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8"/>
      <c r="O129" s="3490"/>
      <c r="Z129" s="1631" t="s">
        <v>4360</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8"/>
      <c r="O130" s="3490"/>
      <c r="Z130" s="1631" t="s">
        <v>4360</v>
      </c>
      <c r="AA130" s="1633">
        <v>130</v>
      </c>
    </row>
    <row r="131" spans="1:27" ht="13.35" customHeight="1">
      <c r="A131" s="340" t="s">
        <v>3130</v>
      </c>
      <c r="B131" s="20">
        <f>IF(AND(B120=0,B121=0,B122=0,B123=0),"",-B119/(B120+B121+B122+B123))</f>
        <v>1.2531916562219125</v>
      </c>
      <c r="C131" s="20">
        <f>IF(AND(C120=0,C121=0,C122=0,C123=0),"",-C119/(C120+C121+C122+C123))</f>
        <v>1.2456269953877617</v>
      </c>
      <c r="D131" s="20">
        <f>IF(AND(D120=0,D121=0,D122=0,D123=0),"",-D119/(D120+D121+D122+D123))</f>
        <v>1.2371175432337691</v>
      </c>
      <c r="E131" s="20">
        <f>IF(AND(E120=0,E121=0,E122=0,E123=0),"",-E119/(E120+E121+E122+E123))</f>
        <v>1.2276033869290206</v>
      </c>
      <c r="F131" s="21">
        <f>IF(AND(F120=0,F121=0,F122=0,F123=0),"",-F119/(F120+F121+F122+F123))</f>
        <v>1.2170233259338452</v>
      </c>
      <c r="G131" s="13"/>
      <c r="H131" s="13"/>
      <c r="I131" s="13"/>
      <c r="J131" s="13"/>
      <c r="K131" s="13"/>
      <c r="N131" s="3488"/>
      <c r="O131" s="3490"/>
      <c r="Z131" s="1631" t="s">
        <v>4360</v>
      </c>
      <c r="AA131" s="1633">
        <v>131</v>
      </c>
    </row>
    <row r="132" spans="1:27" ht="13.35" customHeight="1">
      <c r="A132" s="17" t="s">
        <v>717</v>
      </c>
      <c r="B132" s="220">
        <f>IF(OR(B116="Choose mgt fee",B116="Choose One!"),"",(B109+B110+B111+B112+B113) / -(B115+B116+B117))</f>
        <v>1.3200989639097649</v>
      </c>
      <c r="C132" s="220">
        <f>IF(OR(C116="Choose mgt fee",C116="Choose One!"),"",(C109+C110+C111+C112+C113) / -(C115+C116+C117))</f>
        <v>1.3082884326774618</v>
      </c>
      <c r="D132" s="220">
        <f>IF(OR(D116="Choose mgt fee",D116="Choose One!"),"",(D109+D110+D111+D112+D113) / -(D115+D116+D117))</f>
        <v>1.2965749638003723</v>
      </c>
      <c r="E132" s="220">
        <f>IF(OR(E116="Choose mgt fee",E116="Choose One!"),"",(E109+E110+E111+E112+E113) / -(E115+E116+E117))</f>
        <v>1.2849570921130726</v>
      </c>
      <c r="F132" s="497">
        <f>IF(OR(F116="Choose mgt fee",F116="Choose One!"),"",(F109+F110+F111+F112+F113) / -(F115+F116+F117))</f>
        <v>1.2734349747733407</v>
      </c>
      <c r="G132" s="13"/>
      <c r="H132" s="13"/>
      <c r="I132" s="13"/>
      <c r="J132" s="13"/>
      <c r="K132" s="13"/>
      <c r="N132" s="3488"/>
      <c r="O132" s="3490"/>
      <c r="Z132" s="1631" t="s">
        <v>4360</v>
      </c>
      <c r="AA132" s="1633">
        <v>132</v>
      </c>
    </row>
    <row r="133" spans="1:27" ht="13.35" customHeight="1">
      <c r="A133" s="340" t="s">
        <v>2399</v>
      </c>
      <c r="B133" s="177">
        <f>IF('Part II-Sources of Funds'!$I$40="","",-FV('Part II-Sources of Funds'!$K$40/12,12,B120/12,K103))</f>
        <v>1154865.6286099481</v>
      </c>
      <c r="C133" s="177">
        <f>IF('Part II-Sources of Funds'!$I$40="","",-FV('Part II-Sources of Funds'!$K$40/12,12,C120/12,B133))</f>
        <v>1062505.1042776911</v>
      </c>
      <c r="D133" s="177">
        <f>IF('Part II-Sources of Funds'!$I$40="","",-FV('Part II-Sources of Funds'!$K$40/12,12,D120/12,C133))</f>
        <v>962726.82936044515</v>
      </c>
      <c r="E133" s="177">
        <f>IF('Part II-Sources of Funds'!$I$40="","",-FV('Part II-Sources of Funds'!$K$40/12,12,E120/12,D133))</f>
        <v>854935.06207199942</v>
      </c>
      <c r="F133" s="177">
        <f>IF('Part II-Sources of Funds'!$I$40="","",-FV('Part II-Sources of Funds'!$K$40/12,12,F120/12,E133))</f>
        <v>738486.21481739357</v>
      </c>
      <c r="G133" s="13"/>
      <c r="H133" s="13"/>
      <c r="I133" s="13"/>
      <c r="J133" s="13"/>
      <c r="K133" s="13"/>
      <c r="N133" s="3488"/>
      <c r="O133" s="3490"/>
      <c r="Z133" s="1631" t="s">
        <v>4360</v>
      </c>
      <c r="AA133" s="1633">
        <v>133</v>
      </c>
    </row>
    <row r="134" spans="1:27" ht="13.35" customHeight="1">
      <c r="A134" s="340" t="s">
        <v>2400</v>
      </c>
      <c r="B134" s="178">
        <f>IF('Part II-Sources of Funds'!$I$41="","",-FV('Part II-Sources of Funds'!$K$41/12,12,B121/12,K104))</f>
        <v>761349.74554704595</v>
      </c>
      <c r="C134" s="178">
        <f>IF('Part II-Sources of Funds'!$I$41="","",-FV('Part II-Sources of Funds'!$K$41/12,12,C121/12,B134))</f>
        <v>776143.5036969569</v>
      </c>
      <c r="D134" s="178">
        <f>IF('Part II-Sources of Funds'!$I$41="","",-FV('Part II-Sources of Funds'!$K$41/12,12,D121/12,C134))</f>
        <v>792150.31114839716</v>
      </c>
      <c r="E134" s="178">
        <f>IF('Part II-Sources of Funds'!$I$41="","",-FV('Part II-Sources of Funds'!$K$41/12,12,E121/12,D134))</f>
        <v>809487.21414733271</v>
      </c>
      <c r="F134" s="178">
        <f>IF('Part II-Sources of Funds'!$I$41="","",-FV('Part II-Sources of Funds'!$K$41/12,12,F121/12,E134))</f>
        <v>828278.91286259668</v>
      </c>
      <c r="G134" s="13"/>
      <c r="H134" s="13"/>
      <c r="I134" s="13"/>
      <c r="J134" s="13"/>
      <c r="K134" s="13"/>
      <c r="N134" s="3488"/>
      <c r="O134" s="3490"/>
      <c r="Z134" s="1631" t="s">
        <v>4360</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8"/>
      <c r="O135" s="3490"/>
      <c r="Z135" s="1631" t="s">
        <v>4360</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4360</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4" t="s">
        <v>3003</v>
      </c>
      <c r="B140" s="3568"/>
      <c r="C140" s="3568"/>
      <c r="D140" s="3568"/>
      <c r="E140" s="3568"/>
      <c r="F140" s="3569"/>
      <c r="G140" s="3570"/>
      <c r="H140" s="3571"/>
      <c r="I140" s="3571"/>
      <c r="J140" s="3571"/>
      <c r="K140" s="3572"/>
      <c r="N140" s="3085" t="s">
        <v>2445</v>
      </c>
      <c r="O140" s="308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mjBjqYXhbeEuXAYMkYbeXZSxFjUe3yoDeI4kexNRT3AufVm0u1+rO4q9e7mA6mgF9+9yy/+EZOyW54CSNtwGg==" saltValue="c5mwU9nDZlRXU60FYfztXg=="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92" zoomScale="111" zoomScaleNormal="90" workbookViewId="0">
      <selection activeCell="S309" sqref="S309"/>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739" t="str">
        <f>CONCATENATE("PART SEVEN - THRESHOLD CRITERIA","  -  ",'Part I-Project Identification'!$O$7," ",'Part I-Project Identification'!$F$26,", ",'Part I-Project Identification'!F27,", ",'Part I-Project Identification'!J27," County")</f>
        <v>PART SEVEN - THRESHOLD CRITERIA  -  2024-0 Lewis Crossing, Atlanta, Fulton County</v>
      </c>
      <c r="B1" s="3739"/>
      <c r="C1" s="3739"/>
      <c r="D1" s="3739"/>
      <c r="E1" s="3739"/>
      <c r="F1" s="3739"/>
      <c r="G1" s="3739"/>
      <c r="H1" s="3739"/>
      <c r="I1" s="3739"/>
      <c r="J1" s="3739"/>
      <c r="K1" s="3739"/>
      <c r="L1" s="3739"/>
      <c r="M1" s="3739"/>
      <c r="N1" s="3739"/>
      <c r="O1" s="3739"/>
      <c r="P1" s="3739"/>
      <c r="Q1" s="3739"/>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40"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40"/>
      <c r="C3" s="3740"/>
      <c r="D3" s="3740"/>
      <c r="E3" s="3740"/>
      <c r="F3" s="3740"/>
      <c r="G3" s="3740"/>
      <c r="H3" s="3740"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40"/>
      <c r="J3" s="3740"/>
      <c r="K3" s="3740"/>
      <c r="L3" s="3740"/>
      <c r="M3" s="3740"/>
      <c r="N3" s="3740"/>
      <c r="O3" s="1918"/>
      <c r="P3" s="3741" t="s">
        <v>4650</v>
      </c>
      <c r="Q3" s="3743" t="s">
        <v>4425</v>
      </c>
      <c r="R3" s="2052"/>
      <c r="S3" s="2052"/>
      <c r="T3" s="2052"/>
      <c r="U3" s="2052"/>
      <c r="V3" s="2052"/>
      <c r="W3" s="2052"/>
      <c r="X3" s="2052"/>
      <c r="Y3" s="2052"/>
      <c r="Z3" s="2052"/>
      <c r="AA3" s="2492">
        <v>3</v>
      </c>
      <c r="AB3" s="2052"/>
    </row>
    <row r="4" spans="1:28" s="1917" customFormat="1" ht="12.75">
      <c r="A4" s="1919"/>
      <c r="B4" s="3745"/>
      <c r="C4" s="3745"/>
      <c r="D4" s="3745"/>
      <c r="E4" s="1919"/>
      <c r="F4" s="1919"/>
      <c r="G4" s="1919"/>
      <c r="H4" s="1919"/>
      <c r="I4" s="1918"/>
      <c r="J4" s="1920"/>
      <c r="K4" s="1919"/>
      <c r="L4" s="1919"/>
      <c r="M4" s="1919"/>
      <c r="N4" s="1919"/>
      <c r="O4" s="1918"/>
      <c r="P4" s="3741"/>
      <c r="Q4" s="3743"/>
      <c r="R4" s="2052"/>
      <c r="S4" s="2052"/>
      <c r="T4" s="2052"/>
      <c r="U4" s="2052"/>
      <c r="V4" s="2052"/>
      <c r="W4" s="2052"/>
      <c r="X4" s="2052"/>
      <c r="Y4" s="2052"/>
      <c r="Z4" s="2052"/>
      <c r="AA4" s="2492">
        <v>4</v>
      </c>
      <c r="AB4" s="2052"/>
    </row>
    <row r="5" spans="1:28" s="1917" customFormat="1" ht="12.75">
      <c r="A5" s="1918"/>
      <c r="B5" s="1918"/>
      <c r="C5" s="1918"/>
      <c r="D5" s="1918"/>
      <c r="E5" s="3746" t="str">
        <f>'Part I-Project Identification'!$A$6</f>
        <v>2024 May 7</v>
      </c>
      <c r="F5" s="3746"/>
      <c r="G5" s="3746"/>
      <c r="H5" s="3746"/>
      <c r="I5" s="3746"/>
      <c r="J5" s="1920"/>
      <c r="K5" s="1919"/>
      <c r="L5" s="1919"/>
      <c r="M5" s="1919"/>
      <c r="N5" s="1919"/>
      <c r="O5" s="1918"/>
      <c r="P5" s="3742"/>
      <c r="Q5" s="3744"/>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3" t="s">
        <v>4651</v>
      </c>
      <c r="B7" s="3733"/>
      <c r="C7" s="3733"/>
      <c r="D7" s="3733"/>
      <c r="E7" s="3733"/>
      <c r="F7" s="3733"/>
      <c r="G7" s="3733"/>
      <c r="H7" s="3733"/>
      <c r="I7" s="3733"/>
      <c r="J7" s="3733"/>
      <c r="K7" s="3733"/>
      <c r="L7" s="3733"/>
      <c r="M7" s="3733"/>
      <c r="N7" s="3733"/>
      <c r="O7" s="3733"/>
      <c r="P7" s="3733"/>
      <c r="Q7" s="373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4652</v>
      </c>
      <c r="B9" s="1925"/>
      <c r="C9" s="1925"/>
      <c r="D9" s="1925"/>
      <c r="E9" s="1925"/>
      <c r="F9" s="1925"/>
      <c r="G9" s="1925"/>
      <c r="H9" s="1925"/>
      <c r="I9" s="1926"/>
      <c r="J9" s="1926"/>
      <c r="K9" s="1927"/>
      <c r="L9" s="1927"/>
      <c r="M9" s="1927"/>
      <c r="N9" s="1927"/>
      <c r="O9" s="1927"/>
      <c r="P9" s="3734"/>
      <c r="Q9" s="3735"/>
      <c r="R9" s="2053"/>
      <c r="S9" s="2053"/>
      <c r="T9" s="2053"/>
      <c r="U9" s="2053"/>
      <c r="V9" s="2053"/>
      <c r="W9" s="2053"/>
      <c r="X9" s="2053"/>
      <c r="Y9" s="2053"/>
      <c r="Z9" s="2053"/>
      <c r="AA9" s="2493">
        <v>9</v>
      </c>
      <c r="AB9" s="2053"/>
    </row>
    <row r="10" spans="1:28" s="1928" customFormat="1" ht="15">
      <c r="A10" s="1929" t="s">
        <v>2983</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6" t="s">
        <v>1327</v>
      </c>
      <c r="B11" s="3737"/>
      <c r="C11" s="3737"/>
      <c r="D11" s="3737"/>
      <c r="E11" s="3737"/>
      <c r="F11" s="3737"/>
      <c r="G11" s="3737"/>
      <c r="H11" s="3737"/>
      <c r="I11" s="3737"/>
      <c r="J11" s="3737"/>
      <c r="K11" s="3737"/>
      <c r="L11" s="3737"/>
      <c r="M11" s="3737"/>
      <c r="N11" s="3737"/>
      <c r="O11" s="3737"/>
      <c r="P11" s="3737"/>
      <c r="Q11" s="3738"/>
      <c r="R11" s="2053"/>
      <c r="S11" s="2053"/>
      <c r="T11" s="2053"/>
      <c r="U11" s="2053"/>
      <c r="V11" s="2053"/>
      <c r="W11" s="2053"/>
      <c r="X11" s="2053"/>
      <c r="Y11" s="2053"/>
      <c r="Z11" s="2053"/>
      <c r="AA11" s="2492">
        <v>11</v>
      </c>
      <c r="AB11" s="2053"/>
    </row>
    <row r="12" spans="1:28" s="1928" customFormat="1">
      <c r="A12" s="3725" t="s">
        <v>218</v>
      </c>
      <c r="B12" s="3726"/>
      <c r="C12" s="3726"/>
      <c r="D12" s="3726"/>
      <c r="E12" s="3726"/>
      <c r="F12" s="3726"/>
      <c r="G12" s="3726"/>
      <c r="H12" s="3726"/>
      <c r="I12" s="3726"/>
      <c r="J12" s="3726"/>
      <c r="K12" s="3726"/>
      <c r="L12" s="3726"/>
      <c r="M12" s="3726"/>
      <c r="N12" s="3726"/>
      <c r="O12" s="3726"/>
      <c r="P12" s="3726"/>
      <c r="Q12" s="3727"/>
      <c r="R12" s="2053"/>
      <c r="S12" s="2053"/>
      <c r="T12" s="2053"/>
      <c r="U12" s="2053"/>
      <c r="V12" s="2053"/>
      <c r="W12" s="2053"/>
      <c r="X12" s="2053"/>
      <c r="Y12" s="2053"/>
      <c r="Z12" s="2053"/>
      <c r="AA12" s="2492">
        <v>12</v>
      </c>
      <c r="AB12" s="2053"/>
    </row>
    <row r="13" spans="1:28" s="1928" customFormat="1">
      <c r="A13" s="3725" t="s">
        <v>1323</v>
      </c>
      <c r="B13" s="3726"/>
      <c r="C13" s="3726"/>
      <c r="D13" s="3726"/>
      <c r="E13" s="3726"/>
      <c r="F13" s="3726"/>
      <c r="G13" s="3726"/>
      <c r="H13" s="3726"/>
      <c r="I13" s="3726"/>
      <c r="J13" s="3726"/>
      <c r="K13" s="3726"/>
      <c r="L13" s="3726"/>
      <c r="M13" s="3726"/>
      <c r="N13" s="3726"/>
      <c r="O13" s="3726"/>
      <c r="P13" s="3726"/>
      <c r="Q13" s="3727"/>
      <c r="R13" s="2053"/>
      <c r="S13" s="2053"/>
      <c r="T13" s="2053"/>
      <c r="U13" s="2053"/>
      <c r="V13" s="2053"/>
      <c r="W13" s="2053"/>
      <c r="X13" s="2053"/>
      <c r="Y13" s="2053"/>
      <c r="Z13" s="2053"/>
      <c r="AA13" s="2492">
        <v>13</v>
      </c>
      <c r="AB13" s="2053"/>
    </row>
    <row r="14" spans="1:28" s="1928" customFormat="1">
      <c r="A14" s="3725" t="s">
        <v>1324</v>
      </c>
      <c r="B14" s="3726"/>
      <c r="C14" s="3726"/>
      <c r="D14" s="3726"/>
      <c r="E14" s="3726"/>
      <c r="F14" s="3726"/>
      <c r="G14" s="3726"/>
      <c r="H14" s="3726"/>
      <c r="I14" s="3726"/>
      <c r="J14" s="3726"/>
      <c r="K14" s="3726"/>
      <c r="L14" s="3726"/>
      <c r="M14" s="3726"/>
      <c r="N14" s="3726"/>
      <c r="O14" s="3726"/>
      <c r="P14" s="3726"/>
      <c r="Q14" s="3727"/>
      <c r="R14" s="2053"/>
      <c r="S14" s="2053"/>
      <c r="T14" s="2053"/>
      <c r="U14" s="2053"/>
      <c r="V14" s="2053"/>
      <c r="W14" s="2053"/>
      <c r="X14" s="2053"/>
      <c r="Y14" s="2053"/>
      <c r="Z14" s="2053"/>
      <c r="AA14" s="2492">
        <v>14</v>
      </c>
      <c r="AB14" s="2053"/>
    </row>
    <row r="15" spans="1:28" s="1928" customFormat="1">
      <c r="A15" s="3725" t="s">
        <v>1325</v>
      </c>
      <c r="B15" s="3726"/>
      <c r="C15" s="3726"/>
      <c r="D15" s="3726"/>
      <c r="E15" s="3726"/>
      <c r="F15" s="3726"/>
      <c r="G15" s="3726"/>
      <c r="H15" s="3726"/>
      <c r="I15" s="3726"/>
      <c r="J15" s="3726"/>
      <c r="K15" s="3726"/>
      <c r="L15" s="3726"/>
      <c r="M15" s="3726"/>
      <c r="N15" s="3726"/>
      <c r="O15" s="3726"/>
      <c r="P15" s="3726"/>
      <c r="Q15" s="3727"/>
      <c r="R15" s="2053"/>
      <c r="S15" s="2053"/>
      <c r="T15" s="2053"/>
      <c r="U15" s="2053"/>
      <c r="V15" s="2053"/>
      <c r="W15" s="2053"/>
      <c r="X15" s="2053"/>
      <c r="Y15" s="2053"/>
      <c r="Z15" s="2053"/>
      <c r="AA15" s="2492">
        <v>15</v>
      </c>
      <c r="AB15" s="2053"/>
    </row>
    <row r="16" spans="1:28" s="1928" customFormat="1">
      <c r="A16" s="3725" t="s">
        <v>1326</v>
      </c>
      <c r="B16" s="3726"/>
      <c r="C16" s="3726"/>
      <c r="D16" s="3726"/>
      <c r="E16" s="3726"/>
      <c r="F16" s="3726"/>
      <c r="G16" s="3726"/>
      <c r="H16" s="3726"/>
      <c r="I16" s="3726"/>
      <c r="J16" s="3726"/>
      <c r="K16" s="3726"/>
      <c r="L16" s="3726"/>
      <c r="M16" s="3726"/>
      <c r="N16" s="3726"/>
      <c r="O16" s="3726"/>
      <c r="P16" s="3726"/>
      <c r="Q16" s="3727"/>
      <c r="R16" s="2053"/>
      <c r="S16" s="2053"/>
      <c r="T16" s="2053"/>
      <c r="U16" s="2053"/>
      <c r="V16" s="2053"/>
      <c r="W16" s="2053"/>
      <c r="X16" s="2053"/>
      <c r="Y16" s="2053"/>
      <c r="Z16" s="2053"/>
      <c r="AA16" s="2492">
        <v>16</v>
      </c>
      <c r="AB16" s="2053"/>
    </row>
    <row r="17" spans="1:28" s="1928" customFormat="1">
      <c r="A17" s="3725" t="s">
        <v>1328</v>
      </c>
      <c r="B17" s="3726"/>
      <c r="C17" s="3726"/>
      <c r="D17" s="3726"/>
      <c r="E17" s="3726"/>
      <c r="F17" s="3726"/>
      <c r="G17" s="3726"/>
      <c r="H17" s="3726"/>
      <c r="I17" s="3726"/>
      <c r="J17" s="3726"/>
      <c r="K17" s="3726"/>
      <c r="L17" s="3726"/>
      <c r="M17" s="3726"/>
      <c r="N17" s="3726"/>
      <c r="O17" s="3726"/>
      <c r="P17" s="3726"/>
      <c r="Q17" s="3727"/>
      <c r="R17" s="2053"/>
      <c r="S17" s="2053"/>
      <c r="T17" s="2053"/>
      <c r="U17" s="2053"/>
      <c r="V17" s="2053"/>
      <c r="W17" s="2053"/>
      <c r="X17" s="2053"/>
      <c r="Y17" s="2053"/>
      <c r="Z17" s="2053"/>
      <c r="AA17" s="2492">
        <v>17</v>
      </c>
      <c r="AB17" s="2053"/>
    </row>
    <row r="18" spans="1:28" s="1928" customFormat="1">
      <c r="A18" s="3725" t="s">
        <v>1867</v>
      </c>
      <c r="B18" s="3726"/>
      <c r="C18" s="3726"/>
      <c r="D18" s="3726"/>
      <c r="E18" s="3726"/>
      <c r="F18" s="3726"/>
      <c r="G18" s="3726"/>
      <c r="H18" s="3726"/>
      <c r="I18" s="3726"/>
      <c r="J18" s="3726"/>
      <c r="K18" s="3726"/>
      <c r="L18" s="3726"/>
      <c r="M18" s="3726"/>
      <c r="N18" s="3726"/>
      <c r="O18" s="3726"/>
      <c r="P18" s="3726"/>
      <c r="Q18" s="3727"/>
      <c r="R18" s="2053"/>
      <c r="S18" s="2053"/>
      <c r="T18" s="2053"/>
      <c r="U18" s="2053"/>
      <c r="V18" s="2053"/>
      <c r="W18" s="2053"/>
      <c r="X18" s="2053"/>
      <c r="Y18" s="2053"/>
      <c r="Z18" s="2053"/>
      <c r="AA18" s="2493">
        <v>18</v>
      </c>
      <c r="AB18" s="2053"/>
    </row>
    <row r="19" spans="1:28" s="1928" customFormat="1">
      <c r="A19" s="3725" t="s">
        <v>1868</v>
      </c>
      <c r="B19" s="3726"/>
      <c r="C19" s="3726"/>
      <c r="D19" s="3726"/>
      <c r="E19" s="3726"/>
      <c r="F19" s="3726"/>
      <c r="G19" s="3726"/>
      <c r="H19" s="3726"/>
      <c r="I19" s="3726"/>
      <c r="J19" s="3726"/>
      <c r="K19" s="3726"/>
      <c r="L19" s="3726"/>
      <c r="M19" s="3726"/>
      <c r="N19" s="3726"/>
      <c r="O19" s="3726"/>
      <c r="P19" s="3726"/>
      <c r="Q19" s="3727"/>
      <c r="R19" s="2053"/>
      <c r="S19" s="2053"/>
      <c r="T19" s="2053"/>
      <c r="U19" s="2053"/>
      <c r="V19" s="2053"/>
      <c r="W19" s="2053"/>
      <c r="X19" s="2053"/>
      <c r="Y19" s="2053"/>
      <c r="Z19" s="2053"/>
      <c r="AA19" s="2492">
        <v>19</v>
      </c>
      <c r="AB19" s="2053"/>
    </row>
    <row r="20" spans="1:28" s="1928" customFormat="1">
      <c r="A20" s="3725" t="s">
        <v>1869</v>
      </c>
      <c r="B20" s="3726"/>
      <c r="C20" s="3726"/>
      <c r="D20" s="3726"/>
      <c r="E20" s="3726"/>
      <c r="F20" s="3726"/>
      <c r="G20" s="3726"/>
      <c r="H20" s="3726"/>
      <c r="I20" s="3726"/>
      <c r="J20" s="3726"/>
      <c r="K20" s="3726"/>
      <c r="L20" s="3726"/>
      <c r="M20" s="3726"/>
      <c r="N20" s="3726"/>
      <c r="O20" s="3726"/>
      <c r="P20" s="3726"/>
      <c r="Q20" s="3727"/>
      <c r="R20" s="2053"/>
      <c r="S20" s="2053"/>
      <c r="T20" s="2053"/>
      <c r="U20" s="2053"/>
      <c r="V20" s="2053"/>
      <c r="W20" s="2053"/>
      <c r="X20" s="2053"/>
      <c r="Y20" s="2053"/>
      <c r="Z20" s="2053"/>
      <c r="AA20" s="2492">
        <v>20</v>
      </c>
      <c r="AB20" s="2053"/>
    </row>
    <row r="21" spans="1:28" s="1928" customFormat="1">
      <c r="A21" s="3725" t="s">
        <v>1870</v>
      </c>
      <c r="B21" s="3726"/>
      <c r="C21" s="3726"/>
      <c r="D21" s="3726"/>
      <c r="E21" s="3726"/>
      <c r="F21" s="3726"/>
      <c r="G21" s="3726"/>
      <c r="H21" s="3726"/>
      <c r="I21" s="3726"/>
      <c r="J21" s="3726"/>
      <c r="K21" s="3726"/>
      <c r="L21" s="3726"/>
      <c r="M21" s="3726"/>
      <c r="N21" s="3726"/>
      <c r="O21" s="3726"/>
      <c r="P21" s="3726"/>
      <c r="Q21" s="3727"/>
      <c r="R21" s="2053"/>
      <c r="S21" s="2053"/>
      <c r="T21" s="2053"/>
      <c r="U21" s="2053"/>
      <c r="V21" s="2053"/>
      <c r="W21" s="2053"/>
      <c r="X21" s="2053"/>
      <c r="Y21" s="2053"/>
      <c r="Z21" s="2053"/>
      <c r="AA21" s="2492">
        <v>21</v>
      </c>
      <c r="AB21" s="2053"/>
    </row>
    <row r="22" spans="1:28" s="1928" customFormat="1">
      <c r="A22" s="3725" t="s">
        <v>1871</v>
      </c>
      <c r="B22" s="3726"/>
      <c r="C22" s="3726"/>
      <c r="D22" s="3726"/>
      <c r="E22" s="3726"/>
      <c r="F22" s="3726"/>
      <c r="G22" s="3726"/>
      <c r="H22" s="3726"/>
      <c r="I22" s="3726"/>
      <c r="J22" s="3726"/>
      <c r="K22" s="3726"/>
      <c r="L22" s="3726"/>
      <c r="M22" s="3726"/>
      <c r="N22" s="3726"/>
      <c r="O22" s="3726"/>
      <c r="P22" s="3726"/>
      <c r="Q22" s="3727"/>
      <c r="R22" s="2053"/>
      <c r="S22" s="2053"/>
      <c r="T22" s="2053"/>
      <c r="U22" s="2053"/>
      <c r="V22" s="2053"/>
      <c r="W22" s="2053"/>
      <c r="X22" s="2053"/>
      <c r="Y22" s="2053"/>
      <c r="Z22" s="2053"/>
      <c r="AA22" s="2492">
        <v>22</v>
      </c>
      <c r="AB22" s="2053"/>
    </row>
    <row r="23" spans="1:28" s="1928" customFormat="1">
      <c r="A23" s="3725" t="s">
        <v>1872</v>
      </c>
      <c r="B23" s="3726"/>
      <c r="C23" s="3726"/>
      <c r="D23" s="3726"/>
      <c r="E23" s="3726"/>
      <c r="F23" s="3726"/>
      <c r="G23" s="3726"/>
      <c r="H23" s="3726"/>
      <c r="I23" s="3726"/>
      <c r="J23" s="3726"/>
      <c r="K23" s="3726"/>
      <c r="L23" s="3726"/>
      <c r="M23" s="3726"/>
      <c r="N23" s="3726"/>
      <c r="O23" s="3726"/>
      <c r="P23" s="3726"/>
      <c r="Q23" s="3727"/>
      <c r="R23" s="2053"/>
      <c r="S23" s="2053"/>
      <c r="T23" s="2053"/>
      <c r="U23" s="2053"/>
      <c r="V23" s="2053"/>
      <c r="W23" s="2053"/>
      <c r="X23" s="2053"/>
      <c r="Y23" s="2053"/>
      <c r="Z23" s="2053"/>
      <c r="AA23" s="2492">
        <v>23</v>
      </c>
      <c r="AB23" s="2053"/>
    </row>
    <row r="24" spans="1:28" s="1928" customFormat="1">
      <c r="A24" s="3725" t="s">
        <v>1873</v>
      </c>
      <c r="B24" s="3726"/>
      <c r="C24" s="3726"/>
      <c r="D24" s="3726"/>
      <c r="E24" s="3726"/>
      <c r="F24" s="3726"/>
      <c r="G24" s="3726"/>
      <c r="H24" s="3726"/>
      <c r="I24" s="3726"/>
      <c r="J24" s="3726"/>
      <c r="K24" s="3726"/>
      <c r="L24" s="3726"/>
      <c r="M24" s="3726"/>
      <c r="N24" s="3726"/>
      <c r="O24" s="3726"/>
      <c r="P24" s="3726"/>
      <c r="Q24" s="3727"/>
      <c r="R24" s="2053"/>
      <c r="S24" s="2053"/>
      <c r="T24" s="2053"/>
      <c r="U24" s="2053"/>
      <c r="V24" s="2053"/>
      <c r="W24" s="2053"/>
      <c r="X24" s="2053"/>
      <c r="Y24" s="2053"/>
      <c r="Z24" s="2053"/>
      <c r="AA24" s="2492">
        <v>24</v>
      </c>
      <c r="AB24" s="2053"/>
    </row>
    <row r="25" spans="1:28" s="1928" customFormat="1">
      <c r="A25" s="3725" t="s">
        <v>1874</v>
      </c>
      <c r="B25" s="3726"/>
      <c r="C25" s="3726"/>
      <c r="D25" s="3726"/>
      <c r="E25" s="3726"/>
      <c r="F25" s="3726"/>
      <c r="G25" s="3726"/>
      <c r="H25" s="3726"/>
      <c r="I25" s="3726"/>
      <c r="J25" s="3726"/>
      <c r="K25" s="3726"/>
      <c r="L25" s="3726"/>
      <c r="M25" s="3726"/>
      <c r="N25" s="3726"/>
      <c r="O25" s="3726"/>
      <c r="P25" s="3726"/>
      <c r="Q25" s="3727"/>
      <c r="R25" s="2053"/>
      <c r="S25" s="2053"/>
      <c r="T25" s="2053"/>
      <c r="U25" s="2053"/>
      <c r="V25" s="2053"/>
      <c r="W25" s="2053"/>
      <c r="X25" s="2053"/>
      <c r="Y25" s="2053"/>
      <c r="Z25" s="2053"/>
      <c r="AA25" s="2492">
        <v>25</v>
      </c>
      <c r="AB25" s="2053"/>
    </row>
    <row r="26" spans="1:28" s="1928" customFormat="1">
      <c r="A26" s="3725" t="s">
        <v>1875</v>
      </c>
      <c r="B26" s="3726"/>
      <c r="C26" s="3726"/>
      <c r="D26" s="3726"/>
      <c r="E26" s="3726"/>
      <c r="F26" s="3726"/>
      <c r="G26" s="3726"/>
      <c r="H26" s="3726"/>
      <c r="I26" s="3726"/>
      <c r="J26" s="3726"/>
      <c r="K26" s="3726"/>
      <c r="L26" s="3726"/>
      <c r="M26" s="3726"/>
      <c r="N26" s="3726"/>
      <c r="O26" s="3726"/>
      <c r="P26" s="3726"/>
      <c r="Q26" s="3727"/>
      <c r="R26" s="2053"/>
      <c r="S26" s="2053"/>
      <c r="T26" s="2053"/>
      <c r="U26" s="2053"/>
      <c r="V26" s="2053"/>
      <c r="W26" s="2053"/>
      <c r="X26" s="2053"/>
      <c r="Y26" s="2053"/>
      <c r="Z26" s="2053"/>
      <c r="AA26" s="2492">
        <v>26</v>
      </c>
      <c r="AB26" s="2053"/>
    </row>
    <row r="27" spans="1:28" s="1928" customFormat="1">
      <c r="A27" s="3725" t="s">
        <v>1876</v>
      </c>
      <c r="B27" s="3726"/>
      <c r="C27" s="3726"/>
      <c r="D27" s="3726"/>
      <c r="E27" s="3726"/>
      <c r="F27" s="3726"/>
      <c r="G27" s="3726"/>
      <c r="H27" s="3726"/>
      <c r="I27" s="3726"/>
      <c r="J27" s="3726"/>
      <c r="K27" s="3726"/>
      <c r="L27" s="3726"/>
      <c r="M27" s="3726"/>
      <c r="N27" s="3726"/>
      <c r="O27" s="3726"/>
      <c r="P27" s="3726"/>
      <c r="Q27" s="3727"/>
      <c r="R27" s="2053"/>
      <c r="S27" s="2053"/>
      <c r="T27" s="2053"/>
      <c r="U27" s="2053"/>
      <c r="V27" s="2053"/>
      <c r="W27" s="2053"/>
      <c r="X27" s="2053"/>
      <c r="Y27" s="2053"/>
      <c r="Z27" s="2053"/>
      <c r="AA27" s="2493">
        <v>27</v>
      </c>
      <c r="AB27" s="2053"/>
    </row>
    <row r="28" spans="1:28" s="1928" customFormat="1">
      <c r="A28" s="3728" t="s">
        <v>1877</v>
      </c>
      <c r="B28" s="3729"/>
      <c r="C28" s="3729"/>
      <c r="D28" s="3729"/>
      <c r="E28" s="3729"/>
      <c r="F28" s="3729"/>
      <c r="G28" s="3729"/>
      <c r="H28" s="3729"/>
      <c r="I28" s="3729"/>
      <c r="J28" s="3729"/>
      <c r="K28" s="3729"/>
      <c r="L28" s="3729"/>
      <c r="M28" s="3729"/>
      <c r="N28" s="3729"/>
      <c r="O28" s="3729"/>
      <c r="P28" s="3729"/>
      <c r="Q28" s="3730"/>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4527</v>
      </c>
      <c r="C31" s="1933"/>
      <c r="D31" s="1933"/>
      <c r="E31" s="1933"/>
      <c r="F31" s="1933"/>
      <c r="G31" s="1933"/>
      <c r="I31" s="1935"/>
      <c r="J31" s="1935"/>
      <c r="K31" s="1935"/>
      <c r="L31" s="1932"/>
      <c r="M31" s="1932"/>
      <c r="O31" s="1936" t="s">
        <v>1726</v>
      </c>
      <c r="P31" s="3731"/>
      <c r="Q31" s="3732"/>
      <c r="AA31" s="2492">
        <v>31</v>
      </c>
    </row>
    <row r="32" spans="1:28" ht="15" customHeight="1">
      <c r="B32" s="1938" t="s">
        <v>4653</v>
      </c>
      <c r="C32" s="1938"/>
      <c r="D32" s="1938"/>
      <c r="E32" s="1938"/>
      <c r="F32" s="1938"/>
      <c r="G32" s="1935"/>
      <c r="H32" s="1935"/>
      <c r="I32" s="1935"/>
      <c r="J32" s="1935"/>
      <c r="K32" s="1932"/>
      <c r="L32" s="1932"/>
      <c r="M32" s="1932"/>
      <c r="N32" s="1932"/>
      <c r="O32" s="1932"/>
      <c r="P32" s="1932"/>
      <c r="AA32" s="2492">
        <v>32</v>
      </c>
    </row>
    <row r="33" spans="1:27" ht="57" customHeight="1">
      <c r="A33" s="3583" t="s">
        <v>5213</v>
      </c>
      <c r="B33" s="3583"/>
      <c r="C33" s="3583"/>
      <c r="D33" s="3583"/>
      <c r="E33" s="3583"/>
      <c r="F33" s="3583"/>
      <c r="G33" s="3583"/>
      <c r="H33" s="3583"/>
      <c r="I33" s="3583"/>
      <c r="J33" s="3583"/>
      <c r="K33" s="3583"/>
      <c r="L33" s="3583"/>
      <c r="M33" s="3583"/>
      <c r="N33" s="3583"/>
      <c r="O33" s="3583"/>
      <c r="P33" s="3583"/>
      <c r="Q33" s="365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9"/>
      <c r="B35" s="3669"/>
      <c r="C35" s="3669"/>
      <c r="D35" s="3669"/>
      <c r="E35" s="3669"/>
      <c r="F35" s="3669"/>
      <c r="G35" s="3669"/>
      <c r="H35" s="3669"/>
      <c r="I35" s="3669"/>
      <c r="J35" s="3669"/>
      <c r="K35" s="3669"/>
      <c r="L35" s="3669"/>
      <c r="M35" s="3669"/>
      <c r="N35" s="3669"/>
      <c r="O35" s="3669"/>
      <c r="P35" s="3669"/>
      <c r="Q35" s="3669"/>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9"/>
      <c r="Q38" s="3638"/>
      <c r="AA38" s="2492">
        <v>38</v>
      </c>
    </row>
    <row r="39" spans="1:27" ht="18.75" customHeight="1">
      <c r="A39" s="1941"/>
      <c r="B39" s="3724" t="s">
        <v>4654</v>
      </c>
      <c r="C39" s="3724"/>
      <c r="D39" s="3724"/>
      <c r="E39" s="3724"/>
      <c r="F39" s="3724"/>
      <c r="G39" s="3724"/>
      <c r="H39" s="3724"/>
      <c r="I39" s="3724"/>
      <c r="J39" s="3724"/>
      <c r="K39" s="3724"/>
      <c r="L39" s="3724"/>
      <c r="M39" s="3724"/>
      <c r="N39" s="3724"/>
      <c r="O39" s="3724"/>
      <c r="P39" s="3600" t="s">
        <v>2642</v>
      </c>
      <c r="Q39" s="3601"/>
      <c r="AA39" s="2492">
        <v>39</v>
      </c>
    </row>
    <row r="40" spans="1:27" ht="15" customHeight="1">
      <c r="B40" s="1944" t="s">
        <v>3156</v>
      </c>
      <c r="D40" s="1944"/>
      <c r="E40" s="1944"/>
      <c r="F40" s="1944"/>
      <c r="G40" s="1944"/>
      <c r="H40" s="1942"/>
      <c r="I40" s="1935"/>
      <c r="J40" s="1935"/>
      <c r="AA40" s="2492">
        <v>40</v>
      </c>
    </row>
    <row r="41" spans="1:27" ht="33.75" customHeight="1">
      <c r="A41" s="3627" t="s">
        <v>5214</v>
      </c>
      <c r="B41" s="3628"/>
      <c r="C41" s="3628"/>
      <c r="D41" s="3628"/>
      <c r="E41" s="3628"/>
      <c r="F41" s="3628"/>
      <c r="G41" s="3628"/>
      <c r="H41" s="3628"/>
      <c r="I41" s="3628"/>
      <c r="J41" s="3628"/>
      <c r="K41" s="3628"/>
      <c r="L41" s="3628"/>
      <c r="M41" s="3628"/>
      <c r="N41" s="3628"/>
      <c r="O41" s="3628"/>
      <c r="P41" s="3628"/>
      <c r="Q41" s="3629"/>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9"/>
      <c r="B43" s="3669"/>
      <c r="C43" s="3669"/>
      <c r="D43" s="3669"/>
      <c r="E43" s="3669"/>
      <c r="F43" s="3669"/>
      <c r="G43" s="3669"/>
      <c r="H43" s="3669"/>
      <c r="I43" s="3669"/>
      <c r="J43" s="3669"/>
      <c r="K43" s="3669"/>
      <c r="L43" s="3669"/>
      <c r="M43" s="3669"/>
      <c r="N43" s="3669"/>
      <c r="O43" s="3669"/>
      <c r="P43" s="3669"/>
      <c r="Q43" s="3669"/>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4790</v>
      </c>
      <c r="C46" s="1941"/>
      <c r="D46" s="1940"/>
      <c r="E46" s="1940"/>
      <c r="F46" s="1940"/>
      <c r="G46" s="1940"/>
      <c r="H46" s="1940"/>
      <c r="I46" s="1940"/>
      <c r="J46" s="1940"/>
      <c r="L46" s="1945"/>
      <c r="M46" s="1946"/>
      <c r="O46" s="1936" t="s">
        <v>1726</v>
      </c>
      <c r="P46" s="3589"/>
      <c r="Q46" s="3597"/>
      <c r="AA46" s="2492">
        <v>46</v>
      </c>
    </row>
    <row r="47" spans="1:27" ht="20.25" customHeight="1">
      <c r="A47" s="1947"/>
      <c r="B47" s="1942" t="s">
        <v>5013</v>
      </c>
      <c r="C47" s="1941"/>
      <c r="D47" s="1940"/>
      <c r="E47" s="1940"/>
      <c r="F47" s="1940"/>
      <c r="G47" s="1940"/>
      <c r="H47" s="1940"/>
      <c r="I47" s="1940"/>
      <c r="J47" s="1940"/>
      <c r="L47" s="1945"/>
      <c r="M47" s="1946"/>
      <c r="O47" s="1936"/>
      <c r="P47" s="3600" t="s">
        <v>2642</v>
      </c>
      <c r="Q47" s="3601"/>
      <c r="AA47" s="2492">
        <v>47</v>
      </c>
    </row>
    <row r="48" spans="1:27" ht="15" customHeight="1">
      <c r="B48" s="1944" t="s">
        <v>3156</v>
      </c>
      <c r="D48" s="1944"/>
      <c r="E48" s="1944"/>
      <c r="F48" s="1944"/>
      <c r="G48" s="1944"/>
      <c r="H48" s="1942"/>
      <c r="I48" s="1935"/>
      <c r="J48" s="1935"/>
      <c r="K48" s="1938" t="s">
        <v>1725</v>
      </c>
      <c r="L48" s="1932"/>
      <c r="M48" s="1932"/>
      <c r="N48" s="1932"/>
      <c r="O48" s="1932"/>
      <c r="P48" s="1932"/>
      <c r="Q48" s="1932"/>
      <c r="AA48" s="2492">
        <v>48</v>
      </c>
    </row>
    <row r="49" spans="1:27" ht="80.25" customHeight="1">
      <c r="A49" s="3583" t="s">
        <v>5215</v>
      </c>
      <c r="B49" s="3583"/>
      <c r="C49" s="3583"/>
      <c r="D49" s="3583"/>
      <c r="E49" s="3583"/>
      <c r="F49" s="3583"/>
      <c r="G49" s="3583"/>
      <c r="H49" s="3583"/>
      <c r="I49" s="3583"/>
      <c r="J49" s="3583"/>
      <c r="K49" s="3586"/>
      <c r="L49" s="3586"/>
      <c r="M49" s="3586"/>
      <c r="N49" s="3586"/>
      <c r="O49" s="3586"/>
      <c r="P49" s="3586"/>
      <c r="Q49" s="3639"/>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3889</v>
      </c>
      <c r="C52" s="1941"/>
      <c r="D52" s="1940"/>
      <c r="E52" s="1940"/>
      <c r="F52" s="1940"/>
      <c r="G52" s="1940"/>
      <c r="H52" s="1948"/>
      <c r="J52" s="1947"/>
      <c r="K52" s="1926"/>
      <c r="L52" s="1947"/>
      <c r="M52" s="1949"/>
      <c r="O52" s="1936" t="s">
        <v>1726</v>
      </c>
      <c r="P52" s="3589"/>
      <c r="Q52" s="3597"/>
      <c r="AA52" s="2492">
        <v>52</v>
      </c>
    </row>
    <row r="53" spans="1:27" ht="27.95" customHeight="1">
      <c r="A53" s="1947"/>
      <c r="B53" s="3591" t="s">
        <v>2258</v>
      </c>
      <c r="C53" s="3591"/>
      <c r="D53" s="3591"/>
      <c r="E53" s="3591"/>
      <c r="F53" s="3591"/>
      <c r="G53" s="3591"/>
      <c r="H53" s="3592"/>
      <c r="I53" s="3648" t="s">
        <v>5141</v>
      </c>
      <c r="J53" s="3649"/>
      <c r="K53" s="3649"/>
      <c r="L53" s="3649"/>
      <c r="M53" s="3649"/>
      <c r="N53" s="3649"/>
      <c r="O53" s="3649"/>
      <c r="P53" s="3649"/>
      <c r="Q53" s="3650"/>
      <c r="AA53" s="2492">
        <v>53</v>
      </c>
    </row>
    <row r="54" spans="1:27" ht="15.95" customHeight="1">
      <c r="A54" s="1947"/>
      <c r="B54" s="1934" t="s">
        <v>4655</v>
      </c>
      <c r="D54" s="1950"/>
      <c r="E54" s="1950"/>
      <c r="F54" s="1950"/>
      <c r="I54" s="3721">
        <v>0.94899999999999995</v>
      </c>
      <c r="J54" s="3722"/>
      <c r="K54" s="3723"/>
      <c r="L54" s="1943"/>
      <c r="M54" s="1951"/>
      <c r="N54" s="1951"/>
      <c r="O54" s="1951"/>
      <c r="P54" s="1951"/>
      <c r="Q54" s="1932"/>
      <c r="AA54" s="2493">
        <v>54</v>
      </c>
    </row>
    <row r="55" spans="1:27" ht="15.95" customHeight="1">
      <c r="A55" s="1947"/>
      <c r="B55" s="1934" t="s">
        <v>4656</v>
      </c>
      <c r="D55" s="1950"/>
      <c r="E55" s="1950"/>
      <c r="F55" s="1950"/>
      <c r="H55" s="1943" t="s">
        <v>4657</v>
      </c>
      <c r="I55" s="3721">
        <v>2.1999999999999999E-2</v>
      </c>
      <c r="J55" s="3722"/>
      <c r="K55" s="3723"/>
      <c r="L55" s="1952"/>
      <c r="M55" s="1953" t="s">
        <v>4658</v>
      </c>
      <c r="N55" s="3711" t="s">
        <v>905</v>
      </c>
      <c r="O55" s="3723"/>
      <c r="P55" s="1937"/>
      <c r="Q55" s="1937"/>
      <c r="AA55" s="2492">
        <v>55</v>
      </c>
    </row>
    <row r="56" spans="1:27" ht="15" customHeight="1">
      <c r="B56" s="1954" t="s">
        <v>3156</v>
      </c>
      <c r="D56" s="1954"/>
      <c r="E56" s="1954"/>
      <c r="F56" s="1954"/>
      <c r="G56" s="1954"/>
      <c r="H56" s="1942"/>
      <c r="I56" s="1935"/>
      <c r="J56" s="1935"/>
      <c r="K56" s="1935"/>
      <c r="L56" s="1932"/>
      <c r="M56" s="1932"/>
      <c r="N56" s="1932"/>
      <c r="O56" s="1932"/>
      <c r="P56" s="1932"/>
      <c r="Q56" s="1932"/>
      <c r="AA56" s="2492">
        <v>56</v>
      </c>
    </row>
    <row r="57" spans="1:27" ht="20.25" customHeight="1">
      <c r="A57" s="3583" t="s">
        <v>5148</v>
      </c>
      <c r="B57" s="3583"/>
      <c r="C57" s="3583"/>
      <c r="D57" s="3583"/>
      <c r="E57" s="3583"/>
      <c r="F57" s="3583"/>
      <c r="G57" s="3583"/>
      <c r="H57" s="3583"/>
      <c r="I57" s="3583"/>
      <c r="J57" s="3583"/>
      <c r="K57" s="3583"/>
      <c r="L57" s="3583"/>
      <c r="M57" s="3583"/>
      <c r="N57" s="3583"/>
      <c r="O57" s="3583"/>
      <c r="P57" s="3583"/>
      <c r="Q57" s="365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6"/>
      <c r="B59" s="3586"/>
      <c r="C59" s="3586"/>
      <c r="D59" s="3586"/>
      <c r="E59" s="3586"/>
      <c r="F59" s="3586"/>
      <c r="G59" s="3586"/>
      <c r="H59" s="3586"/>
      <c r="I59" s="3586"/>
      <c r="J59" s="3586"/>
      <c r="K59" s="3586"/>
      <c r="L59" s="3586"/>
      <c r="M59" s="3586"/>
      <c r="N59" s="3586"/>
      <c r="O59" s="3586"/>
      <c r="P59" s="3586"/>
      <c r="Q59" s="3639"/>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40"/>
      <c r="Q62" s="3670"/>
      <c r="AA62" s="2492">
        <v>62</v>
      </c>
    </row>
    <row r="63" spans="1:27" ht="15.95" customHeight="1">
      <c r="A63" s="1947"/>
      <c r="B63" s="1934" t="s">
        <v>4659</v>
      </c>
      <c r="I63" s="1956"/>
      <c r="J63" s="3711" t="s">
        <v>2805</v>
      </c>
      <c r="K63" s="3711"/>
      <c r="L63" s="3711"/>
      <c r="M63" s="3711"/>
      <c r="N63" s="3711"/>
      <c r="O63" s="3711"/>
      <c r="P63" s="3711"/>
      <c r="Q63" s="3712"/>
      <c r="AA63" s="2493">
        <v>63</v>
      </c>
    </row>
    <row r="64" spans="1:27" ht="15.95" customHeight="1">
      <c r="A64" s="1947"/>
      <c r="B64" s="1934" t="s">
        <v>3822</v>
      </c>
      <c r="O64" s="1943"/>
      <c r="P64" s="1962" t="s">
        <v>2645</v>
      </c>
      <c r="Q64" s="1955"/>
      <c r="AA64" s="2492">
        <v>64</v>
      </c>
    </row>
    <row r="65" spans="1:28" ht="31.5" customHeight="1">
      <c r="B65" s="1941"/>
      <c r="C65" s="3591" t="s">
        <v>4792</v>
      </c>
      <c r="D65" s="3591"/>
      <c r="E65" s="3591"/>
      <c r="F65" s="3591"/>
      <c r="G65" s="3591"/>
      <c r="H65" s="3591"/>
      <c r="I65" s="3591"/>
      <c r="J65" s="3591"/>
      <c r="K65" s="3591"/>
      <c r="L65" s="3591"/>
      <c r="M65" s="3591"/>
      <c r="N65" s="3591"/>
      <c r="O65" s="3591"/>
      <c r="P65" s="2059" t="s">
        <v>5126</v>
      </c>
      <c r="Q65" s="2084"/>
      <c r="AA65" s="2492">
        <v>65</v>
      </c>
    </row>
    <row r="66" spans="1:28" ht="15" customHeight="1">
      <c r="B66" s="1954" t="s">
        <v>4653</v>
      </c>
      <c r="D66" s="1954"/>
      <c r="E66" s="1954"/>
      <c r="F66" s="1954"/>
      <c r="G66" s="1954"/>
      <c r="H66" s="1942"/>
      <c r="I66" s="1935"/>
      <c r="J66" s="1935"/>
      <c r="K66" s="1935"/>
      <c r="L66" s="1932"/>
      <c r="M66" s="1932"/>
      <c r="N66" s="1932"/>
      <c r="O66" s="1932"/>
      <c r="P66" s="1932"/>
      <c r="Q66" s="1932"/>
      <c r="AA66" s="2492">
        <v>66</v>
      </c>
    </row>
    <row r="67" spans="1:28" ht="20.25" customHeight="1">
      <c r="A67" s="3627" t="s">
        <v>5167</v>
      </c>
      <c r="B67" s="3634"/>
      <c r="C67" s="3634"/>
      <c r="D67" s="3634"/>
      <c r="E67" s="3634"/>
      <c r="F67" s="3634"/>
      <c r="G67" s="3634"/>
      <c r="H67" s="3634"/>
      <c r="I67" s="3634"/>
      <c r="J67" s="3634"/>
      <c r="K67" s="3634"/>
      <c r="L67" s="3634"/>
      <c r="M67" s="3634"/>
      <c r="N67" s="3634"/>
      <c r="O67" s="3634"/>
      <c r="P67" s="3634"/>
      <c r="Q67" s="3635"/>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5"/>
      <c r="B69" s="3636"/>
      <c r="C69" s="3636"/>
      <c r="D69" s="3636"/>
      <c r="E69" s="3636"/>
      <c r="F69" s="3636"/>
      <c r="G69" s="3636"/>
      <c r="H69" s="3636"/>
      <c r="I69" s="3636"/>
      <c r="J69" s="3636"/>
      <c r="K69" s="3636"/>
      <c r="L69" s="3636"/>
      <c r="M69" s="3636"/>
      <c r="N69" s="3636"/>
      <c r="O69" s="3636"/>
      <c r="P69" s="3636"/>
      <c r="Q69" s="3637"/>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9"/>
      <c r="Q72" s="3597"/>
      <c r="AA72" s="2493">
        <v>72</v>
      </c>
    </row>
    <row r="73" spans="1:28" ht="32.25" customHeight="1">
      <c r="A73" s="1947"/>
      <c r="B73" s="3591" t="s">
        <v>4997</v>
      </c>
      <c r="C73" s="3591"/>
      <c r="D73" s="3591"/>
      <c r="E73" s="3591"/>
      <c r="F73" s="3591"/>
      <c r="G73" s="3591"/>
      <c r="H73" s="3591"/>
      <c r="I73" s="3591"/>
      <c r="J73" s="3591"/>
      <c r="K73" s="3592"/>
      <c r="L73" s="3717" t="s">
        <v>5142</v>
      </c>
      <c r="M73" s="3718"/>
      <c r="N73" s="3718"/>
      <c r="O73" s="3718"/>
      <c r="P73" s="3719"/>
      <c r="Q73" s="3720"/>
      <c r="AA73" s="2492">
        <v>73</v>
      </c>
    </row>
    <row r="74" spans="1:28" ht="16.5" customHeight="1">
      <c r="B74" s="1934" t="s">
        <v>4660</v>
      </c>
      <c r="C74" s="1937"/>
      <c r="O74" s="1943"/>
      <c r="P74" s="1962" t="s">
        <v>2645</v>
      </c>
      <c r="Q74" s="1955"/>
      <c r="AA74" s="2492">
        <v>74</v>
      </c>
    </row>
    <row r="75" spans="1:28" ht="16.5" customHeight="1">
      <c r="A75" s="1947"/>
      <c r="B75" s="1934" t="s">
        <v>4525</v>
      </c>
      <c r="D75" s="1950"/>
      <c r="E75" s="1950"/>
      <c r="F75" s="1950"/>
      <c r="G75" s="1950"/>
      <c r="H75" s="1950"/>
      <c r="K75" s="1950"/>
      <c r="L75" s="1940"/>
      <c r="O75" s="1943"/>
      <c r="P75" s="1959" t="s">
        <v>2642</v>
      </c>
      <c r="Q75" s="1960"/>
      <c r="AA75" s="2492">
        <v>75</v>
      </c>
    </row>
    <row r="76" spans="1:28" ht="15" customHeight="1">
      <c r="A76" s="1947"/>
      <c r="B76" s="1934" t="s">
        <v>4661</v>
      </c>
      <c r="D76" s="1950"/>
      <c r="E76" s="1950"/>
      <c r="F76" s="1950"/>
      <c r="G76" s="1950"/>
      <c r="H76" s="1950"/>
      <c r="K76" s="1950"/>
      <c r="L76" s="1940"/>
      <c r="M76" s="1940"/>
      <c r="N76" s="1940"/>
      <c r="O76" s="1943"/>
      <c r="AA76" s="2492">
        <v>76</v>
      </c>
    </row>
    <row r="77" spans="1:28" ht="16.5" customHeight="1">
      <c r="A77" s="1947"/>
      <c r="B77" s="1941"/>
      <c r="C77" s="1934" t="s">
        <v>4662</v>
      </c>
      <c r="E77" s="1950"/>
      <c r="F77" s="1950"/>
      <c r="G77" s="1950"/>
      <c r="H77" s="1950"/>
      <c r="K77" s="1950"/>
      <c r="L77" s="1940"/>
      <c r="M77" s="1940"/>
      <c r="O77" s="1943"/>
      <c r="P77" s="1962" t="s">
        <v>2645</v>
      </c>
      <c r="Q77" s="1955"/>
      <c r="AA77" s="2492">
        <v>77</v>
      </c>
    </row>
    <row r="78" spans="1:28" ht="16.5" customHeight="1">
      <c r="A78" s="1947"/>
      <c r="B78" s="1941"/>
      <c r="C78" s="1934" t="s">
        <v>4663</v>
      </c>
      <c r="E78" s="1950"/>
      <c r="F78" s="1950"/>
      <c r="G78" s="1950"/>
      <c r="K78" s="1950"/>
      <c r="L78" s="1940"/>
      <c r="M78" s="1940"/>
      <c r="O78" s="1943"/>
      <c r="P78" s="1957" t="s">
        <v>2645</v>
      </c>
      <c r="Q78" s="1958"/>
      <c r="AA78" s="2492">
        <v>78</v>
      </c>
    </row>
    <row r="79" spans="1:28" s="1973" customFormat="1" ht="16.5" customHeight="1">
      <c r="A79" s="1963"/>
      <c r="B79" s="1964"/>
      <c r="C79" s="1964"/>
      <c r="D79" s="1929" t="s">
        <v>4664</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4665</v>
      </c>
      <c r="E80" s="1950"/>
      <c r="F80" s="1950"/>
      <c r="G80" s="1950"/>
      <c r="K80" s="1950"/>
      <c r="L80" s="1940"/>
      <c r="M80" s="1940"/>
      <c r="O80" s="1943"/>
      <c r="P80" s="1959" t="s">
        <v>2645</v>
      </c>
      <c r="Q80" s="1960"/>
      <c r="AA80" s="2492">
        <v>80</v>
      </c>
    </row>
    <row r="81" spans="1:27" ht="32.25" customHeight="1">
      <c r="A81" s="1947"/>
      <c r="B81" s="3713" t="s">
        <v>4818</v>
      </c>
      <c r="C81" s="3713"/>
      <c r="D81" s="3713"/>
      <c r="E81" s="3713"/>
      <c r="F81" s="3713"/>
      <c r="G81" s="3713"/>
      <c r="H81" s="3713"/>
      <c r="I81" s="3713"/>
      <c r="J81" s="3713"/>
      <c r="K81" s="3713"/>
      <c r="L81" s="3713"/>
      <c r="M81" s="3713"/>
      <c r="N81" s="3713"/>
      <c r="O81" s="3713"/>
      <c r="P81" s="3713"/>
      <c r="Q81" s="3713"/>
      <c r="AA81" s="2493">
        <v>81</v>
      </c>
    </row>
    <row r="82" spans="1:27" ht="55.5" customHeight="1">
      <c r="B82" s="3711" t="s">
        <v>5202</v>
      </c>
      <c r="C82" s="3711"/>
      <c r="D82" s="3711"/>
      <c r="E82" s="3711"/>
      <c r="F82" s="3711"/>
      <c r="G82" s="3711"/>
      <c r="H82" s="3711"/>
      <c r="I82" s="3711"/>
      <c r="J82" s="3711"/>
      <c r="K82" s="3711"/>
      <c r="L82" s="3711"/>
      <c r="M82" s="3711"/>
      <c r="N82" s="3711"/>
      <c r="O82" s="3711"/>
      <c r="P82" s="3711"/>
      <c r="Q82" s="3712"/>
      <c r="AA82" s="2492">
        <v>82</v>
      </c>
    </row>
    <row r="83" spans="1:27" ht="15" customHeight="1">
      <c r="B83" s="1954" t="s">
        <v>3156</v>
      </c>
      <c r="D83" s="1954"/>
      <c r="E83" s="1954"/>
      <c r="F83" s="1954"/>
      <c r="G83" s="1954"/>
      <c r="H83" s="1942"/>
      <c r="I83" s="1935"/>
      <c r="J83" s="1935"/>
      <c r="K83" s="1935"/>
      <c r="L83" s="1932"/>
      <c r="M83" s="1932"/>
      <c r="N83" s="1932"/>
      <c r="O83" s="1932"/>
      <c r="P83" s="1932"/>
      <c r="Q83" s="1932"/>
      <c r="AA83" s="2492">
        <v>83</v>
      </c>
    </row>
    <row r="84" spans="1:27" ht="30.75" customHeight="1">
      <c r="A84" s="3583" t="s">
        <v>5216</v>
      </c>
      <c r="B84" s="3583"/>
      <c r="C84" s="3583"/>
      <c r="D84" s="3583"/>
      <c r="E84" s="3583"/>
      <c r="F84" s="3583"/>
      <c r="G84" s="3583"/>
      <c r="H84" s="3583"/>
      <c r="I84" s="3583"/>
      <c r="J84" s="3583"/>
      <c r="K84" s="3583"/>
      <c r="L84" s="3583"/>
      <c r="M84" s="3583"/>
      <c r="N84" s="3583"/>
      <c r="O84" s="3583"/>
      <c r="P84" s="3583"/>
      <c r="Q84" s="365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6"/>
      <c r="B86" s="3586"/>
      <c r="C86" s="3586"/>
      <c r="D86" s="3586"/>
      <c r="E86" s="3586"/>
      <c r="F86" s="3586"/>
      <c r="G86" s="3586"/>
      <c r="H86" s="3586"/>
      <c r="I86" s="3586"/>
      <c r="J86" s="3586"/>
      <c r="K86" s="3586"/>
      <c r="L86" s="3586"/>
      <c r="M86" s="3586"/>
      <c r="N86" s="3586"/>
      <c r="O86" s="3586"/>
      <c r="P86" s="3586"/>
      <c r="Q86" s="3639"/>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9"/>
      <c r="Q89" s="3597"/>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4" t="s">
        <v>5129</v>
      </c>
      <c r="M90" s="3715"/>
      <c r="N90" s="3716"/>
      <c r="O90" s="3589" t="s">
        <v>1641</v>
      </c>
      <c r="P90" s="3633"/>
      <c r="Q90" s="3590"/>
      <c r="AA90" s="2493">
        <v>90</v>
      </c>
    </row>
    <row r="91" spans="1:27" ht="14.1" customHeight="1">
      <c r="A91" s="1947"/>
      <c r="B91" s="1934" t="s">
        <v>635</v>
      </c>
      <c r="G91" s="3711" t="s">
        <v>5143</v>
      </c>
      <c r="H91" s="3711"/>
      <c r="I91" s="3711"/>
      <c r="J91" s="3711"/>
      <c r="K91" s="3711"/>
      <c r="L91" s="3711"/>
      <c r="M91" s="3711"/>
      <c r="N91" s="3711"/>
      <c r="O91" s="3711"/>
      <c r="P91" s="3711"/>
      <c r="Q91" s="3712"/>
      <c r="AA91" s="2492">
        <v>91</v>
      </c>
    </row>
    <row r="92" spans="1:27" ht="15" customHeight="1">
      <c r="B92" s="1954" t="s">
        <v>3156</v>
      </c>
      <c r="D92" s="1954"/>
      <c r="E92" s="1954"/>
      <c r="F92" s="1954"/>
      <c r="G92" s="1954"/>
      <c r="H92" s="1942"/>
      <c r="I92" s="1935"/>
      <c r="J92" s="1935"/>
      <c r="K92" s="1935"/>
      <c r="L92" s="1932"/>
      <c r="M92" s="1932"/>
      <c r="N92" s="1932"/>
      <c r="O92" s="1932"/>
      <c r="P92" s="1932"/>
      <c r="Q92" s="1932"/>
      <c r="AA92" s="2492">
        <v>92</v>
      </c>
    </row>
    <row r="93" spans="1:27" ht="43.5" customHeight="1">
      <c r="A93" s="3583" t="s">
        <v>5209</v>
      </c>
      <c r="B93" s="3583"/>
      <c r="C93" s="3583"/>
      <c r="D93" s="3583"/>
      <c r="E93" s="3583"/>
      <c r="F93" s="3583"/>
      <c r="G93" s="3583"/>
      <c r="H93" s="3583"/>
      <c r="I93" s="3583"/>
      <c r="J93" s="3583"/>
      <c r="K93" s="3583"/>
      <c r="L93" s="3583"/>
      <c r="M93" s="3583"/>
      <c r="N93" s="3583"/>
      <c r="O93" s="3583"/>
      <c r="P93" s="3583"/>
      <c r="Q93" s="366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6"/>
      <c r="B95" s="3586"/>
      <c r="C95" s="3586"/>
      <c r="D95" s="3586"/>
      <c r="E95" s="3586"/>
      <c r="F95" s="3586"/>
      <c r="G95" s="3586"/>
      <c r="H95" s="3586"/>
      <c r="I95" s="3586"/>
      <c r="J95" s="3586"/>
      <c r="K95" s="3586"/>
      <c r="L95" s="3586"/>
      <c r="M95" s="3586"/>
      <c r="N95" s="3586"/>
      <c r="O95" s="3586"/>
      <c r="P95" s="3586"/>
      <c r="Q95" s="3669"/>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9"/>
      <c r="Q98" s="3597"/>
      <c r="AA98" s="2492">
        <v>98</v>
      </c>
    </row>
    <row r="99" spans="1:27" ht="15" customHeight="1">
      <c r="B99" s="1954" t="s">
        <v>3156</v>
      </c>
      <c r="D99" s="1954"/>
      <c r="E99" s="1954"/>
      <c r="F99" s="1954"/>
      <c r="G99" s="1954"/>
      <c r="H99" s="1942"/>
      <c r="I99" s="1935"/>
      <c r="J99" s="1935"/>
      <c r="K99" s="1935"/>
      <c r="L99" s="1932"/>
      <c r="M99" s="1932"/>
      <c r="N99" s="1932"/>
      <c r="O99" s="1932"/>
      <c r="P99" s="1932"/>
      <c r="Q99" s="1932"/>
      <c r="AA99" s="2493">
        <v>99</v>
      </c>
    </row>
    <row r="100" spans="1:27" ht="45.75" customHeight="1">
      <c r="A100" s="3583" t="s">
        <v>5217</v>
      </c>
      <c r="B100" s="3583"/>
      <c r="C100" s="3583"/>
      <c r="D100" s="3583"/>
      <c r="E100" s="3583"/>
      <c r="F100" s="3583"/>
      <c r="G100" s="3583"/>
      <c r="H100" s="3583"/>
      <c r="I100" s="3583"/>
      <c r="J100" s="3583"/>
      <c r="K100" s="3583"/>
      <c r="L100" s="3583"/>
      <c r="M100" s="3583"/>
      <c r="N100" s="3583"/>
      <c r="O100" s="3583"/>
      <c r="P100" s="3583"/>
      <c r="Q100" s="366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6"/>
      <c r="B102" s="3586"/>
      <c r="C102" s="3586"/>
      <c r="D102" s="3586"/>
      <c r="E102" s="3586"/>
      <c r="F102" s="3586"/>
      <c r="G102" s="3586"/>
      <c r="H102" s="3586"/>
      <c r="I102" s="3586"/>
      <c r="J102" s="3586"/>
      <c r="K102" s="3586"/>
      <c r="L102" s="3586"/>
      <c r="M102" s="3586"/>
      <c r="N102" s="3586"/>
      <c r="O102" s="3586"/>
      <c r="P102" s="3586"/>
      <c r="Q102" s="3669"/>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10" t="s">
        <v>2420</v>
      </c>
      <c r="C105" s="3710"/>
      <c r="D105" s="3710"/>
      <c r="N105" s="1961"/>
      <c r="O105" s="1936" t="s">
        <v>1726</v>
      </c>
      <c r="P105" s="3589"/>
      <c r="Q105" s="3597"/>
      <c r="AA105" s="2492">
        <v>105</v>
      </c>
    </row>
    <row r="106" spans="1:27" ht="15" customHeight="1">
      <c r="B106" s="1954" t="s">
        <v>3156</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583" t="s">
        <v>5218</v>
      </c>
      <c r="B107" s="3583"/>
      <c r="C107" s="3583"/>
      <c r="D107" s="3583"/>
      <c r="E107" s="3583"/>
      <c r="F107" s="3583"/>
      <c r="G107" s="3583"/>
      <c r="H107" s="3583"/>
      <c r="I107" s="3583"/>
      <c r="J107" s="3583"/>
      <c r="K107" s="3583"/>
      <c r="L107" s="3583"/>
      <c r="M107" s="3583"/>
      <c r="N107" s="3583"/>
      <c r="O107" s="3583"/>
      <c r="P107" s="3583"/>
      <c r="Q107" s="366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6"/>
      <c r="B109" s="3586"/>
      <c r="C109" s="3586"/>
      <c r="D109" s="3586"/>
      <c r="E109" s="3586"/>
      <c r="F109" s="3586"/>
      <c r="G109" s="3586"/>
      <c r="H109" s="3586"/>
      <c r="I109" s="3586"/>
      <c r="J109" s="3586"/>
      <c r="K109" s="3586"/>
      <c r="L109" s="3586"/>
      <c r="M109" s="3586"/>
      <c r="N109" s="3586"/>
      <c r="O109" s="3586"/>
      <c r="P109" s="3586"/>
      <c r="Q109" s="3669"/>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40"/>
      <c r="Q112" s="3670"/>
      <c r="AA112" s="2492">
        <v>112</v>
      </c>
    </row>
    <row r="113" spans="1:27" ht="14.1" customHeight="1">
      <c r="A113" s="1947"/>
      <c r="B113" s="1934" t="s">
        <v>4666</v>
      </c>
      <c r="H113" s="1934" t="s">
        <v>4667</v>
      </c>
      <c r="J113" s="3707" t="s">
        <v>2805</v>
      </c>
      <c r="K113" s="3708"/>
      <c r="L113" s="3708"/>
      <c r="M113" s="3708"/>
      <c r="N113" s="3708"/>
      <c r="O113" s="3708"/>
      <c r="P113" s="3708"/>
      <c r="Q113" s="3709"/>
      <c r="AA113" s="2492">
        <v>113</v>
      </c>
    </row>
    <row r="114" spans="1:27" ht="14.1" customHeight="1">
      <c r="A114" s="1947"/>
      <c r="B114" s="1947"/>
      <c r="H114" s="1934" t="s">
        <v>4668</v>
      </c>
      <c r="J114" s="3695" t="s">
        <v>5144</v>
      </c>
      <c r="K114" s="3696"/>
      <c r="L114" s="3696"/>
      <c r="M114" s="3696"/>
      <c r="N114" s="3696"/>
      <c r="O114" s="3696"/>
      <c r="P114" s="3696"/>
      <c r="Q114" s="3697"/>
      <c r="AA114" s="2492">
        <v>114</v>
      </c>
    </row>
    <row r="115" spans="1:27" ht="15" customHeight="1">
      <c r="A115" s="1947"/>
      <c r="B115" s="1954" t="s">
        <v>3156</v>
      </c>
      <c r="C115" s="1974"/>
      <c r="D115" s="1974"/>
      <c r="E115" s="1974"/>
      <c r="F115" s="1974"/>
      <c r="H115" s="1937"/>
      <c r="I115" s="1937"/>
      <c r="J115" s="1937"/>
      <c r="K115" s="1937"/>
      <c r="L115" s="1937"/>
      <c r="M115" s="1937"/>
      <c r="N115" s="1937"/>
      <c r="O115" s="1937"/>
      <c r="P115" s="1937"/>
      <c r="Q115" s="1937"/>
      <c r="AA115" s="2492">
        <v>115</v>
      </c>
    </row>
    <row r="116" spans="1:27" ht="49.5" customHeight="1">
      <c r="A116" s="3583" t="s">
        <v>5149</v>
      </c>
      <c r="B116" s="3583"/>
      <c r="C116" s="3583"/>
      <c r="D116" s="3583"/>
      <c r="E116" s="3583"/>
      <c r="F116" s="3583"/>
      <c r="G116" s="3583"/>
      <c r="H116" s="3583"/>
      <c r="I116" s="3583"/>
      <c r="J116" s="3583"/>
      <c r="K116" s="3583"/>
      <c r="L116" s="3583"/>
      <c r="M116" s="3583"/>
      <c r="N116" s="3583"/>
      <c r="O116" s="3583"/>
      <c r="P116" s="3583"/>
      <c r="Q116" s="366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6"/>
      <c r="B118" s="3586"/>
      <c r="C118" s="3586"/>
      <c r="D118" s="3586"/>
      <c r="E118" s="3586"/>
      <c r="F118" s="3586"/>
      <c r="G118" s="3586"/>
      <c r="H118" s="3586"/>
      <c r="I118" s="3586"/>
      <c r="J118" s="3586"/>
      <c r="K118" s="3586"/>
      <c r="L118" s="3586"/>
      <c r="M118" s="3586"/>
      <c r="N118" s="3586"/>
      <c r="O118" s="3586"/>
      <c r="P118" s="3586"/>
      <c r="Q118" s="3639"/>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4669</v>
      </c>
      <c r="C121" s="1933"/>
      <c r="D121" s="1933"/>
      <c r="E121" s="1933"/>
      <c r="F121" s="1933"/>
      <c r="G121" s="1940"/>
      <c r="H121" s="1940"/>
      <c r="J121" s="1940"/>
      <c r="K121" s="1940"/>
      <c r="L121" s="1940"/>
      <c r="M121" s="1940"/>
      <c r="N121" s="1961"/>
      <c r="O121" s="1936" t="s">
        <v>1726</v>
      </c>
      <c r="P121" s="3589"/>
      <c r="Q121" s="3597"/>
      <c r="AA121" s="2492">
        <v>121</v>
      </c>
    </row>
    <row r="122" spans="1:27" ht="14.45" customHeight="1">
      <c r="A122" s="1947"/>
      <c r="B122" s="1934" t="s">
        <v>4670</v>
      </c>
      <c r="H122" s="1934" t="s">
        <v>4671</v>
      </c>
      <c r="J122" s="3707" t="s">
        <v>5153</v>
      </c>
      <c r="K122" s="3708"/>
      <c r="L122" s="3708"/>
      <c r="M122" s="3708"/>
      <c r="N122" s="3708"/>
      <c r="O122" s="3708"/>
      <c r="P122" s="3708"/>
      <c r="Q122" s="3709"/>
      <c r="R122" s="1975"/>
      <c r="AA122" s="2492">
        <v>122</v>
      </c>
    </row>
    <row r="123" spans="1:27" ht="14.45" customHeight="1">
      <c r="A123" s="1974"/>
      <c r="B123" s="1947"/>
      <c r="H123" s="1934" t="s">
        <v>4672</v>
      </c>
      <c r="J123" s="3695" t="s">
        <v>5153</v>
      </c>
      <c r="K123" s="3696"/>
      <c r="L123" s="3696"/>
      <c r="M123" s="3696"/>
      <c r="N123" s="3696"/>
      <c r="O123" s="3696"/>
      <c r="P123" s="3696"/>
      <c r="Q123" s="3697"/>
      <c r="R123" s="1975"/>
      <c r="AA123" s="2492">
        <v>123</v>
      </c>
    </row>
    <row r="124" spans="1:27" ht="15" customHeight="1">
      <c r="B124" s="1954" t="s">
        <v>3156</v>
      </c>
      <c r="D124" s="1954"/>
      <c r="E124" s="1954"/>
      <c r="F124" s="1954"/>
      <c r="G124" s="1954"/>
      <c r="H124" s="1942"/>
      <c r="I124" s="1935"/>
      <c r="J124" s="1935"/>
      <c r="K124" s="1935"/>
      <c r="L124" s="1932"/>
      <c r="M124" s="1932"/>
      <c r="N124" s="1932"/>
      <c r="O124" s="1932"/>
      <c r="P124" s="1932"/>
      <c r="Q124" s="1932"/>
      <c r="AA124" s="2492">
        <v>124</v>
      </c>
    </row>
    <row r="125" spans="1:27" ht="42" customHeight="1">
      <c r="A125" s="3583" t="s">
        <v>5154</v>
      </c>
      <c r="B125" s="3583"/>
      <c r="C125" s="3583"/>
      <c r="D125" s="3583"/>
      <c r="E125" s="3583"/>
      <c r="F125" s="3583"/>
      <c r="G125" s="3583"/>
      <c r="H125" s="3583"/>
      <c r="I125" s="3583"/>
      <c r="J125" s="3583"/>
      <c r="K125" s="3583"/>
      <c r="L125" s="3583"/>
      <c r="M125" s="3583"/>
      <c r="N125" s="3583"/>
      <c r="O125" s="3583"/>
      <c r="P125" s="3583"/>
      <c r="Q125" s="366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6"/>
      <c r="B127" s="3586"/>
      <c r="C127" s="3586"/>
      <c r="D127" s="3586"/>
      <c r="E127" s="3586"/>
      <c r="F127" s="3586"/>
      <c r="G127" s="3586"/>
      <c r="H127" s="3586"/>
      <c r="I127" s="3586"/>
      <c r="J127" s="3586"/>
      <c r="K127" s="3586"/>
      <c r="L127" s="3586"/>
      <c r="M127" s="3586"/>
      <c r="N127" s="3586"/>
      <c r="O127" s="3586"/>
      <c r="P127" s="3586"/>
      <c r="Q127" s="3639"/>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9"/>
      <c r="Q130" s="3597"/>
      <c r="AA130" s="2492">
        <v>130</v>
      </c>
    </row>
    <row r="131" spans="1:27" ht="27.6" customHeight="1">
      <c r="A131" s="1937"/>
      <c r="B131" s="3591" t="s">
        <v>4998</v>
      </c>
      <c r="C131" s="3591"/>
      <c r="D131" s="3591"/>
      <c r="E131" s="3591"/>
      <c r="F131" s="3591"/>
      <c r="G131" s="3591"/>
      <c r="H131" s="3591"/>
      <c r="I131" s="3591"/>
      <c r="J131" s="3591"/>
      <c r="K131" s="3591"/>
      <c r="L131" s="3591"/>
      <c r="M131" s="3591"/>
      <c r="N131" s="3591"/>
      <c r="O131" s="3592"/>
      <c r="P131" s="3600" t="s">
        <v>2642</v>
      </c>
      <c r="Q131" s="3601"/>
      <c r="AA131" s="2492">
        <v>131</v>
      </c>
    </row>
    <row r="132" spans="1:27" ht="20.25" customHeight="1">
      <c r="A132" s="1947" t="s">
        <v>1836</v>
      </c>
      <c r="B132" s="1934" t="s">
        <v>4673</v>
      </c>
      <c r="O132" s="1943"/>
      <c r="P132" s="1937"/>
      <c r="Q132" s="1937"/>
      <c r="AA132" s="2492">
        <v>132</v>
      </c>
    </row>
    <row r="133" spans="1:27" ht="14.45" customHeight="1">
      <c r="A133" s="1947"/>
      <c r="B133" s="1942"/>
      <c r="C133" s="1934" t="s">
        <v>1787</v>
      </c>
      <c r="J133" s="1943"/>
      <c r="K133" s="1937"/>
      <c r="L133" s="1937"/>
      <c r="M133" s="3704" t="s">
        <v>5145</v>
      </c>
      <c r="N133" s="3705"/>
      <c r="O133" s="3705"/>
      <c r="P133" s="3705"/>
      <c r="Q133" s="3706"/>
      <c r="AA133" s="2492">
        <v>133</v>
      </c>
    </row>
    <row r="134" spans="1:27" ht="14.45" customHeight="1">
      <c r="A134" s="1947"/>
      <c r="B134" s="1942"/>
      <c r="C134" s="1942" t="s">
        <v>4609</v>
      </c>
      <c r="E134" s="1942"/>
      <c r="F134" s="1942"/>
      <c r="G134" s="1942"/>
      <c r="H134" s="1942"/>
      <c r="J134" s="1943"/>
      <c r="K134" s="1937"/>
      <c r="L134" s="1937"/>
      <c r="M134" s="3688" t="s">
        <v>5150</v>
      </c>
      <c r="N134" s="3689"/>
      <c r="O134" s="3689"/>
      <c r="P134" s="3689"/>
      <c r="Q134" s="3690"/>
      <c r="AA134" s="2492">
        <v>134</v>
      </c>
    </row>
    <row r="135" spans="1:27" ht="14.45" customHeight="1">
      <c r="A135" s="1947"/>
      <c r="B135" s="1942"/>
      <c r="C135" s="3691" t="s">
        <v>4089</v>
      </c>
      <c r="D135" s="3692"/>
      <c r="E135" s="3692"/>
      <c r="F135" s="3692"/>
      <c r="G135" s="3692"/>
      <c r="H135" s="3692"/>
      <c r="I135" s="3692"/>
      <c r="J135" s="3692"/>
      <c r="K135" s="3692"/>
      <c r="L135" s="3692"/>
      <c r="M135" s="3693"/>
      <c r="N135" s="3693"/>
      <c r="O135" s="3693"/>
      <c r="P135" s="3693"/>
      <c r="Q135" s="3694"/>
      <c r="AA135" s="2493">
        <v>135</v>
      </c>
    </row>
    <row r="136" spans="1:27" ht="14.45" customHeight="1">
      <c r="A136" s="1947"/>
      <c r="B136" s="1942"/>
      <c r="C136" s="1942" t="s">
        <v>3661</v>
      </c>
      <c r="E136" s="1942"/>
      <c r="F136" s="1942"/>
      <c r="G136" s="1942"/>
      <c r="H136" s="1942"/>
      <c r="J136" s="1943"/>
      <c r="K136" s="1937"/>
      <c r="L136" s="1937"/>
      <c r="M136" s="3695" t="s">
        <v>5146</v>
      </c>
      <c r="N136" s="3696"/>
      <c r="O136" s="3696"/>
      <c r="P136" s="3696"/>
      <c r="Q136" s="3697"/>
      <c r="AA136" s="2492">
        <v>136</v>
      </c>
    </row>
    <row r="137" spans="1:27" ht="20.25" customHeight="1">
      <c r="A137" s="1947" t="s">
        <v>1838</v>
      </c>
      <c r="B137" s="3591" t="s">
        <v>4674</v>
      </c>
      <c r="C137" s="3591"/>
      <c r="D137" s="3591"/>
      <c r="E137" s="3591"/>
      <c r="F137" s="3591"/>
      <c r="G137" s="3591"/>
      <c r="H137" s="3591"/>
      <c r="I137" s="3591"/>
      <c r="J137" s="3591"/>
      <c r="K137" s="3591"/>
      <c r="L137" s="3591"/>
      <c r="M137" s="3591"/>
      <c r="N137" s="3591"/>
      <c r="O137" s="1943"/>
      <c r="P137" s="1976"/>
      <c r="Q137" s="1932"/>
      <c r="AA137" s="2492">
        <v>137</v>
      </c>
    </row>
    <row r="138" spans="1:27" ht="27.6" customHeight="1">
      <c r="A138" s="1963"/>
      <c r="B138" s="1940"/>
      <c r="C138" s="3591" t="s">
        <v>4675</v>
      </c>
      <c r="D138" s="3591"/>
      <c r="E138" s="3591"/>
      <c r="F138" s="3591"/>
      <c r="G138" s="3591"/>
      <c r="H138" s="3591"/>
      <c r="I138" s="3591"/>
      <c r="J138" s="3591"/>
      <c r="K138" s="3591"/>
      <c r="L138" s="3591"/>
      <c r="M138" s="3591"/>
      <c r="N138" s="3591"/>
      <c r="O138" s="3591"/>
      <c r="P138" s="3591"/>
      <c r="Q138" s="3591"/>
      <c r="AA138" s="2492">
        <v>138</v>
      </c>
    </row>
    <row r="139" spans="1:27" ht="15.75" customHeight="1">
      <c r="A139" s="1932"/>
      <c r="B139" s="1970" t="s">
        <v>1611</v>
      </c>
      <c r="C139" s="3698" t="s">
        <v>3726</v>
      </c>
      <c r="D139" s="3699"/>
      <c r="E139" s="3699"/>
      <c r="F139" s="3699"/>
      <c r="G139" s="3699"/>
      <c r="H139" s="3700"/>
      <c r="I139" s="1937"/>
      <c r="J139" s="3701" t="s">
        <v>4676</v>
      </c>
      <c r="K139" s="3702"/>
      <c r="L139" s="3702"/>
      <c r="M139" s="3702"/>
      <c r="N139" s="3702"/>
      <c r="O139" s="3702"/>
      <c r="P139" s="3702"/>
      <c r="Q139" s="3703"/>
      <c r="AA139" s="2492">
        <v>139</v>
      </c>
    </row>
    <row r="140" spans="1:27" ht="15.75" customHeight="1">
      <c r="A140" s="1932"/>
      <c r="B140" s="1970" t="s">
        <v>1612</v>
      </c>
      <c r="C140" s="3676" t="s">
        <v>3775</v>
      </c>
      <c r="D140" s="3677"/>
      <c r="E140" s="3677"/>
      <c r="F140" s="3677"/>
      <c r="G140" s="3677"/>
      <c r="H140" s="3678"/>
      <c r="I140" s="1937"/>
      <c r="J140" s="3679" t="s">
        <v>4676</v>
      </c>
      <c r="K140" s="3680"/>
      <c r="L140" s="3680"/>
      <c r="M140" s="3680"/>
      <c r="N140" s="3680"/>
      <c r="O140" s="3680"/>
      <c r="P140" s="3680"/>
      <c r="Q140" s="3681"/>
      <c r="AA140" s="2492">
        <v>140</v>
      </c>
    </row>
    <row r="141" spans="1:27" ht="15.75" customHeight="1">
      <c r="A141" s="1932"/>
      <c r="B141" s="1970" t="s">
        <v>1613</v>
      </c>
      <c r="C141" s="3676" t="s">
        <v>949</v>
      </c>
      <c r="D141" s="3677"/>
      <c r="E141" s="3677"/>
      <c r="F141" s="3677"/>
      <c r="G141" s="3677"/>
      <c r="H141" s="3678"/>
      <c r="I141" s="1937"/>
      <c r="J141" s="3679" t="s">
        <v>4676</v>
      </c>
      <c r="K141" s="3680"/>
      <c r="L141" s="3680"/>
      <c r="M141" s="3680"/>
      <c r="N141" s="3680"/>
      <c r="O141" s="3680"/>
      <c r="P141" s="3680"/>
      <c r="Q141" s="3681"/>
      <c r="AA141" s="2492">
        <v>141</v>
      </c>
    </row>
    <row r="142" spans="1:27" ht="15.75" customHeight="1">
      <c r="A142" s="1932"/>
      <c r="B142" s="1970" t="s">
        <v>2176</v>
      </c>
      <c r="C142" s="3682" t="s">
        <v>949</v>
      </c>
      <c r="D142" s="3683"/>
      <c r="E142" s="3683"/>
      <c r="F142" s="3683"/>
      <c r="G142" s="3683"/>
      <c r="H142" s="3684"/>
      <c r="I142" s="1937"/>
      <c r="J142" s="3685" t="s">
        <v>4676</v>
      </c>
      <c r="K142" s="3686"/>
      <c r="L142" s="3686"/>
      <c r="M142" s="3686"/>
      <c r="N142" s="3686"/>
      <c r="O142" s="3686"/>
      <c r="P142" s="3686"/>
      <c r="Q142" s="3687"/>
      <c r="AA142" s="2492">
        <v>142</v>
      </c>
    </row>
    <row r="143" spans="1:27" ht="15" customHeight="1">
      <c r="B143" s="1944" t="s">
        <v>3156</v>
      </c>
      <c r="D143" s="1944"/>
      <c r="E143" s="1944"/>
      <c r="F143" s="1944"/>
      <c r="G143" s="1944"/>
      <c r="H143" s="1942"/>
      <c r="I143" s="1935"/>
      <c r="J143" s="1935"/>
      <c r="K143" s="1935"/>
      <c r="L143" s="1932"/>
      <c r="M143" s="1932"/>
      <c r="N143" s="1932"/>
      <c r="O143" s="1932"/>
      <c r="P143" s="1937"/>
      <c r="Q143" s="1937"/>
      <c r="AA143" s="2492">
        <v>143</v>
      </c>
    </row>
    <row r="144" spans="1:27" ht="20.25" customHeight="1">
      <c r="A144" s="3583" t="s">
        <v>5151</v>
      </c>
      <c r="B144" s="3583"/>
      <c r="C144" s="3583"/>
      <c r="D144" s="3583"/>
      <c r="E144" s="3583"/>
      <c r="F144" s="3583"/>
      <c r="G144" s="3583"/>
      <c r="H144" s="3583"/>
      <c r="I144" s="3583"/>
      <c r="J144" s="3583"/>
      <c r="K144" s="3583"/>
      <c r="L144" s="3583"/>
      <c r="M144" s="3583"/>
      <c r="N144" s="3583"/>
      <c r="O144" s="3583"/>
      <c r="P144" s="3583"/>
      <c r="Q144" s="366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6"/>
      <c r="B146" s="3586"/>
      <c r="C146" s="3586"/>
      <c r="D146" s="3586"/>
      <c r="E146" s="3586"/>
      <c r="F146" s="3586"/>
      <c r="G146" s="3586"/>
      <c r="H146" s="3586"/>
      <c r="I146" s="3586"/>
      <c r="J146" s="3586"/>
      <c r="K146" s="3586"/>
      <c r="L146" s="3586"/>
      <c r="M146" s="3586"/>
      <c r="N146" s="3586"/>
      <c r="O146" s="3586"/>
      <c r="P146" s="3586"/>
      <c r="Q146" s="3669"/>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3825</v>
      </c>
      <c r="C149" s="1933"/>
      <c r="D149" s="1933"/>
      <c r="E149" s="1933"/>
      <c r="F149" s="1933"/>
      <c r="G149" s="1933"/>
      <c r="H149" s="1940"/>
      <c r="I149" s="1940"/>
      <c r="J149" s="1940"/>
      <c r="K149" s="1940"/>
      <c r="L149" s="1977"/>
      <c r="M149" s="1978"/>
      <c r="O149" s="1936" t="s">
        <v>1726</v>
      </c>
      <c r="P149" s="3640"/>
      <c r="Q149" s="3670"/>
      <c r="AA149" s="2492">
        <v>149</v>
      </c>
    </row>
    <row r="150" spans="1:27" ht="20.25" customHeight="1">
      <c r="A150" s="1937"/>
      <c r="B150" s="1934" t="s">
        <v>4677</v>
      </c>
      <c r="C150" s="1937"/>
      <c r="D150" s="1937"/>
      <c r="E150" s="1937"/>
      <c r="F150" s="1937"/>
      <c r="G150" s="1937"/>
      <c r="H150" s="1937"/>
      <c r="I150" s="1937"/>
      <c r="J150" s="1937"/>
      <c r="K150" s="1937"/>
      <c r="L150" s="1937"/>
      <c r="M150" s="1937"/>
      <c r="N150" s="1935"/>
      <c r="O150" s="1937"/>
      <c r="P150" s="3603" t="s">
        <v>2645</v>
      </c>
      <c r="Q150" s="3604"/>
      <c r="AA150" s="2492">
        <v>150</v>
      </c>
    </row>
    <row r="151" spans="1:27" ht="20.25" customHeight="1">
      <c r="A151" s="1947"/>
      <c r="B151" s="1934" t="s">
        <v>1190</v>
      </c>
      <c r="G151" s="1937"/>
      <c r="H151" s="3651" t="s">
        <v>1641</v>
      </c>
      <c r="I151" s="3671"/>
      <c r="J151" s="3671"/>
      <c r="K151" s="3671"/>
      <c r="L151" s="3671"/>
      <c r="M151" s="3671"/>
      <c r="N151" s="3671"/>
      <c r="O151" s="3671"/>
      <c r="P151" s="3672"/>
      <c r="Q151" s="3673"/>
      <c r="R151" s="1956"/>
      <c r="AA151" s="2492">
        <v>151</v>
      </c>
    </row>
    <row r="152" spans="1:27" ht="20.25" customHeight="1">
      <c r="A152" s="1947"/>
      <c r="B152" s="1934" t="s">
        <v>1801</v>
      </c>
      <c r="G152" s="1937"/>
      <c r="H152" s="3653"/>
      <c r="I152" s="3674"/>
      <c r="J152" s="3674"/>
      <c r="K152" s="3674"/>
      <c r="L152" s="3674"/>
      <c r="M152" s="3674"/>
      <c r="N152" s="3674"/>
      <c r="O152" s="3674"/>
      <c r="P152" s="3674"/>
      <c r="Q152" s="3675"/>
      <c r="R152" s="1956"/>
      <c r="AA152" s="2492">
        <v>152</v>
      </c>
    </row>
    <row r="153" spans="1:27" ht="15" customHeight="1">
      <c r="B153" s="1954" t="s">
        <v>3156</v>
      </c>
      <c r="D153" s="1954"/>
      <c r="E153" s="1954"/>
      <c r="F153" s="1954"/>
      <c r="G153" s="1954"/>
      <c r="H153" s="1942"/>
      <c r="I153" s="1935"/>
      <c r="J153" s="1935"/>
      <c r="K153" s="1935"/>
      <c r="L153" s="1932"/>
      <c r="M153" s="1932"/>
      <c r="N153" s="1932"/>
      <c r="O153" s="1932"/>
      <c r="P153" s="1932"/>
      <c r="Q153" s="1932"/>
      <c r="AA153" s="2493">
        <v>153</v>
      </c>
    </row>
    <row r="154" spans="1:27" ht="20.25" customHeight="1">
      <c r="A154" s="3583" t="s">
        <v>5168</v>
      </c>
      <c r="B154" s="3583"/>
      <c r="C154" s="3583"/>
      <c r="D154" s="3583"/>
      <c r="E154" s="3583"/>
      <c r="F154" s="3583"/>
      <c r="G154" s="3583"/>
      <c r="H154" s="3583"/>
      <c r="I154" s="3583"/>
      <c r="J154" s="3583"/>
      <c r="K154" s="3583"/>
      <c r="L154" s="3583"/>
      <c r="M154" s="3583"/>
      <c r="N154" s="3583"/>
      <c r="O154" s="3583"/>
      <c r="P154" s="3583"/>
      <c r="Q154" s="366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6"/>
      <c r="B156" s="3586"/>
      <c r="C156" s="3586"/>
      <c r="D156" s="3586"/>
      <c r="E156" s="3586"/>
      <c r="F156" s="3586"/>
      <c r="G156" s="3586"/>
      <c r="H156" s="3586"/>
      <c r="I156" s="3586"/>
      <c r="J156" s="3586"/>
      <c r="K156" s="3586"/>
      <c r="L156" s="3586"/>
      <c r="M156" s="3586"/>
      <c r="N156" s="3586"/>
      <c r="O156" s="3586"/>
      <c r="P156" s="3586"/>
      <c r="Q156" s="3669"/>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2489</v>
      </c>
      <c r="B159" s="1933" t="s">
        <v>2424</v>
      </c>
      <c r="C159" s="1933"/>
      <c r="D159" s="1933"/>
      <c r="E159" s="1933"/>
      <c r="F159" s="1933"/>
      <c r="G159" s="1933"/>
      <c r="H159" s="1940"/>
      <c r="I159" s="1940"/>
      <c r="J159" s="1940"/>
      <c r="K159" s="1940"/>
      <c r="L159" s="1940"/>
      <c r="M159" s="1940"/>
      <c r="O159" s="1936" t="s">
        <v>1726</v>
      </c>
      <c r="P159" s="3589"/>
      <c r="Q159" s="3597"/>
      <c r="AA159" s="2492">
        <v>159</v>
      </c>
    </row>
    <row r="160" spans="1:27" ht="15" customHeight="1">
      <c r="B160" s="1954" t="s">
        <v>3156</v>
      </c>
      <c r="D160" s="1954"/>
      <c r="E160" s="1954"/>
      <c r="F160" s="1954"/>
      <c r="G160" s="1954"/>
      <c r="H160" s="1942"/>
      <c r="I160" s="1935"/>
      <c r="J160" s="1935"/>
      <c r="K160" s="1935"/>
      <c r="L160" s="1932"/>
      <c r="M160" s="1932"/>
      <c r="N160" s="1932"/>
      <c r="O160" s="1932"/>
      <c r="P160" s="1932"/>
      <c r="Q160" s="1932"/>
      <c r="AA160" s="2492">
        <v>160</v>
      </c>
    </row>
    <row r="161" spans="1:27" ht="20.25" customHeight="1">
      <c r="A161" s="3583" t="s">
        <v>5152</v>
      </c>
      <c r="B161" s="3583"/>
      <c r="C161" s="3583"/>
      <c r="D161" s="3583"/>
      <c r="E161" s="3583"/>
      <c r="F161" s="3583"/>
      <c r="G161" s="3583"/>
      <c r="H161" s="3583"/>
      <c r="I161" s="3583"/>
      <c r="J161" s="3583"/>
      <c r="K161" s="3583"/>
      <c r="L161" s="3583"/>
      <c r="M161" s="3583"/>
      <c r="N161" s="3583"/>
      <c r="O161" s="3583"/>
      <c r="P161" s="3583"/>
      <c r="Q161" s="366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6"/>
      <c r="B163" s="3586"/>
      <c r="C163" s="3586"/>
      <c r="D163" s="3586"/>
      <c r="E163" s="3586"/>
      <c r="F163" s="3586"/>
      <c r="G163" s="3586"/>
      <c r="H163" s="3586"/>
      <c r="I163" s="3586"/>
      <c r="J163" s="3586"/>
      <c r="K163" s="3586"/>
      <c r="L163" s="3586"/>
      <c r="M163" s="3586"/>
      <c r="N163" s="3586"/>
      <c r="O163" s="3586"/>
      <c r="P163" s="3586"/>
      <c r="Q163" s="3669"/>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9"/>
      <c r="Q166" s="3597"/>
      <c r="AA166" s="2492">
        <v>166</v>
      </c>
    </row>
    <row r="167" spans="1:27" ht="15" customHeight="1">
      <c r="A167" s="1947" t="s">
        <v>1836</v>
      </c>
      <c r="B167" s="1933" t="s">
        <v>4094</v>
      </c>
      <c r="G167" s="1937"/>
      <c r="J167" s="1937"/>
      <c r="K167" s="1937"/>
      <c r="L167" s="1937"/>
      <c r="M167" s="1937"/>
      <c r="N167" s="1937"/>
      <c r="O167" s="1943"/>
      <c r="P167" s="1937"/>
      <c r="Q167" s="1937"/>
      <c r="AA167" s="2492">
        <v>167</v>
      </c>
    </row>
    <row r="168" spans="1:27" ht="29.45" customHeight="1">
      <c r="B168" s="3594" t="s">
        <v>4999</v>
      </c>
      <c r="C168" s="3594"/>
      <c r="D168" s="3594"/>
      <c r="E168" s="3594"/>
      <c r="F168" s="3594"/>
      <c r="G168" s="3594"/>
      <c r="H168" s="3594"/>
      <c r="I168" s="3594"/>
      <c r="J168" s="3594"/>
      <c r="K168" s="3594"/>
      <c r="L168" s="3594"/>
      <c r="M168" s="3594"/>
      <c r="N168" s="3594"/>
      <c r="O168" s="3595"/>
      <c r="P168" s="3665" t="s">
        <v>5147</v>
      </c>
      <c r="Q168" s="3666"/>
      <c r="AA168" s="2492">
        <v>168</v>
      </c>
    </row>
    <row r="169" spans="1:27" ht="17.100000000000001" customHeight="1">
      <c r="A169" s="1947" t="s">
        <v>1838</v>
      </c>
      <c r="B169" s="1933" t="s">
        <v>297</v>
      </c>
      <c r="G169" s="1937"/>
      <c r="H169" s="3593" t="s">
        <v>5044</v>
      </c>
      <c r="I169" s="3593"/>
      <c r="J169" s="3593"/>
      <c r="K169" s="3593"/>
      <c r="L169" s="3593"/>
      <c r="M169" s="3593"/>
      <c r="N169" s="3593"/>
      <c r="O169" s="3593"/>
      <c r="P169" s="3667"/>
      <c r="Q169" s="3667"/>
      <c r="AA169" s="2492">
        <v>169</v>
      </c>
    </row>
    <row r="170" spans="1:27" ht="15" customHeight="1">
      <c r="B170" s="1954" t="s">
        <v>3156</v>
      </c>
      <c r="M170" s="1935"/>
      <c r="N170" s="1935"/>
      <c r="O170" s="1979"/>
      <c r="P170" s="1932"/>
      <c r="AA170" s="2492">
        <v>170</v>
      </c>
    </row>
    <row r="171" spans="1:27" ht="71.25" customHeight="1">
      <c r="A171" s="3583" t="s">
        <v>5219</v>
      </c>
      <c r="B171" s="3583"/>
      <c r="C171" s="3583"/>
      <c r="D171" s="3583"/>
      <c r="E171" s="3583"/>
      <c r="F171" s="3583"/>
      <c r="G171" s="3583"/>
      <c r="H171" s="3583"/>
      <c r="I171" s="3583"/>
      <c r="J171" s="3583"/>
      <c r="K171" s="3583"/>
      <c r="L171" s="3583"/>
      <c r="M171" s="3583"/>
      <c r="N171" s="3583"/>
      <c r="O171" s="3583"/>
      <c r="P171" s="3583"/>
      <c r="Q171" s="366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6"/>
      <c r="B173" s="3586"/>
      <c r="C173" s="3586"/>
      <c r="D173" s="3586"/>
      <c r="E173" s="3586"/>
      <c r="F173" s="3586"/>
      <c r="G173" s="3586"/>
      <c r="H173" s="3586"/>
      <c r="I173" s="3586"/>
      <c r="J173" s="3586"/>
      <c r="K173" s="3586"/>
      <c r="L173" s="3586"/>
      <c r="M173" s="3586"/>
      <c r="N173" s="3586"/>
      <c r="O173" s="3586"/>
      <c r="P173" s="3586"/>
      <c r="Q173" s="3639"/>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3282</v>
      </c>
      <c r="B176" s="1941" t="s">
        <v>2426</v>
      </c>
      <c r="C176" s="1980"/>
      <c r="D176" s="1980"/>
      <c r="E176" s="1940"/>
      <c r="F176" s="1940"/>
      <c r="G176" s="1940"/>
      <c r="H176" s="1940"/>
      <c r="I176" s="1940"/>
      <c r="J176" s="1940"/>
      <c r="K176" s="1940"/>
      <c r="L176" s="1940"/>
      <c r="M176" s="1940"/>
      <c r="O176" s="1936" t="s">
        <v>1726</v>
      </c>
      <c r="P176" s="3640"/>
      <c r="Q176" s="3641"/>
      <c r="AA176" s="2492">
        <v>176</v>
      </c>
    </row>
    <row r="177" spans="1:27" ht="15" customHeight="1">
      <c r="A177" s="1937"/>
      <c r="B177" s="1934" t="s">
        <v>4677</v>
      </c>
      <c r="C177" s="1937"/>
      <c r="D177" s="1937"/>
      <c r="E177" s="1937"/>
      <c r="F177" s="1937"/>
      <c r="G177" s="1937"/>
      <c r="H177" s="1937"/>
      <c r="I177" s="1937"/>
      <c r="J177" s="1937"/>
      <c r="K177" s="1937"/>
      <c r="L177" s="1937"/>
      <c r="M177" s="1937"/>
      <c r="N177" s="1935"/>
      <c r="O177" s="1937"/>
      <c r="P177" s="3603" t="s">
        <v>2645</v>
      </c>
      <c r="Q177" s="3656"/>
      <c r="AA177" s="2492">
        <v>177</v>
      </c>
    </row>
    <row r="178" spans="1:27" ht="30.6" customHeight="1">
      <c r="A178" s="1937"/>
      <c r="B178" s="3591" t="s">
        <v>5000</v>
      </c>
      <c r="C178" s="3591"/>
      <c r="D178" s="3591"/>
      <c r="E178" s="3591"/>
      <c r="F178" s="3591"/>
      <c r="G178" s="3591"/>
      <c r="H178" s="3591"/>
      <c r="I178" s="3591"/>
      <c r="J178" s="3591"/>
      <c r="K178" s="3591"/>
      <c r="L178" s="3591"/>
      <c r="M178" s="3591"/>
      <c r="N178" s="3591"/>
      <c r="O178" s="3591"/>
      <c r="P178" s="3608" t="s">
        <v>5147</v>
      </c>
      <c r="Q178" s="3609"/>
      <c r="AA178" s="2492">
        <v>178</v>
      </c>
    </row>
    <row r="179" spans="1:27" ht="15">
      <c r="A179" s="1947" t="s">
        <v>1836</v>
      </c>
      <c r="B179" s="1941" t="s">
        <v>5018</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4" t="s">
        <v>5034</v>
      </c>
      <c r="C180" s="3594"/>
      <c r="D180" s="3594"/>
      <c r="E180" s="3594"/>
      <c r="F180" s="3594"/>
      <c r="G180" s="3594"/>
      <c r="H180" s="3594"/>
      <c r="I180" s="3594"/>
      <c r="J180" s="3594"/>
      <c r="K180" s="3594"/>
      <c r="L180" s="3594"/>
      <c r="M180" s="3594"/>
      <c r="N180" s="3594"/>
      <c r="O180" s="3594"/>
      <c r="P180" s="1943"/>
      <c r="Q180" s="1943"/>
      <c r="AA180" s="2493">
        <v>180</v>
      </c>
    </row>
    <row r="181" spans="1:27" ht="28.5" customHeight="1">
      <c r="A181" s="1937"/>
      <c r="B181" s="1937"/>
      <c r="C181" s="1968"/>
      <c r="D181" s="3594" t="s">
        <v>5035</v>
      </c>
      <c r="E181" s="3594"/>
      <c r="F181" s="3594"/>
      <c r="G181" s="3594"/>
      <c r="H181" s="3594"/>
      <c r="I181" s="3594"/>
      <c r="J181" s="3594"/>
      <c r="K181" s="3594"/>
      <c r="L181" s="3594"/>
      <c r="M181" s="3594"/>
      <c r="N181" s="3594"/>
      <c r="O181" s="3594"/>
      <c r="P181" s="3663">
        <f>'Part VIII Scoring Criteria'!O105</f>
        <v>5</v>
      </c>
      <c r="Q181" s="3664"/>
      <c r="AA181" s="2493"/>
    </row>
    <row r="182" spans="1:27" ht="12" customHeight="1">
      <c r="A182" s="1937"/>
      <c r="C182" s="1937"/>
      <c r="D182" s="1937"/>
      <c r="E182" s="1937"/>
      <c r="F182" s="1937"/>
      <c r="G182" s="1937"/>
      <c r="H182" s="1937"/>
      <c r="I182" s="1937"/>
      <c r="J182" s="1937"/>
      <c r="K182" s="1937"/>
      <c r="L182" s="3662" t="s">
        <v>4678</v>
      </c>
      <c r="M182" s="3662"/>
      <c r="N182" s="1935"/>
      <c r="O182" s="1937"/>
      <c r="P182" s="1976"/>
      <c r="Q182" s="1932"/>
      <c r="AA182" s="2492">
        <v>181</v>
      </c>
    </row>
    <row r="183" spans="1:27" ht="17.100000000000001" customHeight="1">
      <c r="A183" s="1947" t="s">
        <v>1838</v>
      </c>
      <c r="B183" s="1941" t="s">
        <v>4793</v>
      </c>
      <c r="D183" s="1981"/>
      <c r="E183" s="1981"/>
      <c r="F183" s="1981"/>
      <c r="G183" s="1981"/>
      <c r="H183" s="1981"/>
      <c r="I183" s="1981"/>
      <c r="J183" s="1981"/>
      <c r="K183" s="1981"/>
      <c r="L183" s="1934" t="s">
        <v>4679</v>
      </c>
      <c r="M183" s="1935" t="s">
        <v>4680</v>
      </c>
      <c r="N183" s="1981"/>
      <c r="O183" s="1943"/>
      <c r="P183" s="1943"/>
      <c r="Q183" s="1943"/>
      <c r="AA183" s="2492">
        <v>182</v>
      </c>
    </row>
    <row r="184" spans="1:27" ht="15" customHeight="1">
      <c r="A184" s="1947"/>
      <c r="B184" s="1934" t="s">
        <v>4681</v>
      </c>
      <c r="C184" s="1937"/>
      <c r="D184" s="1950"/>
      <c r="E184" s="1950"/>
      <c r="F184" s="1950"/>
      <c r="G184" s="1950"/>
      <c r="H184" s="1937"/>
      <c r="K184" s="1982"/>
      <c r="L184" s="1983">
        <f>ROUNDUP('Part V-Revenues &amp; Expenses'!$P$67*M184,0)</f>
        <v>3</v>
      </c>
      <c r="M184" s="1984">
        <f>'DCA Underwriting Assumptions'!$Q$147</f>
        <v>0.05</v>
      </c>
      <c r="N184" s="2085" t="s">
        <v>4794</v>
      </c>
      <c r="O184" s="1943"/>
      <c r="P184" s="3603">
        <v>3</v>
      </c>
      <c r="Q184" s="3656"/>
      <c r="AA184" s="2492">
        <v>183</v>
      </c>
    </row>
    <row r="185" spans="1:27" ht="15" customHeight="1">
      <c r="A185" s="1947"/>
      <c r="B185" s="1942"/>
      <c r="D185" s="3591" t="s">
        <v>4795</v>
      </c>
      <c r="E185" s="3591"/>
      <c r="F185" s="3591"/>
      <c r="G185" s="3591"/>
      <c r="H185" s="3591"/>
      <c r="I185" s="3591"/>
      <c r="J185" s="3591"/>
      <c r="K185" s="1982"/>
      <c r="L185" s="1985">
        <f>ROUNDUP(L184*M185,0)</f>
        <v>2</v>
      </c>
      <c r="M185" s="1984">
        <f>'DCA Underwriting Assumptions'!$Q$148</f>
        <v>0.4</v>
      </c>
      <c r="N185" s="2085" t="s">
        <v>4796</v>
      </c>
      <c r="O185" s="1943"/>
      <c r="P185" s="3605">
        <v>2</v>
      </c>
      <c r="Q185" s="3658"/>
      <c r="AA185" s="2492">
        <v>184</v>
      </c>
    </row>
    <row r="186" spans="1:27" ht="15" customHeight="1">
      <c r="A186" s="1947"/>
      <c r="B186" s="3591" t="s">
        <v>4682</v>
      </c>
      <c r="C186" s="3591"/>
      <c r="D186" s="3591"/>
      <c r="E186" s="3591"/>
      <c r="F186" s="3591"/>
      <c r="G186" s="3591"/>
      <c r="H186" s="3591"/>
      <c r="I186" s="3591"/>
      <c r="J186" s="3591"/>
      <c r="K186" s="1937"/>
      <c r="L186" s="1986">
        <f>ROUNDUP('Part V-Revenues &amp; Expenses'!$P$67*M186,0)</f>
        <v>1</v>
      </c>
      <c r="M186" s="1984">
        <f>'DCA Underwriting Assumptions'!$Q$149</f>
        <v>0.02</v>
      </c>
      <c r="N186" s="2085" t="s">
        <v>4794</v>
      </c>
      <c r="O186" s="1943"/>
      <c r="P186" s="3608">
        <v>2</v>
      </c>
      <c r="Q186" s="3657"/>
      <c r="AA186" s="2492">
        <v>185</v>
      </c>
    </row>
    <row r="187" spans="1:27" ht="15" customHeight="1">
      <c r="A187" s="1947" t="s">
        <v>697</v>
      </c>
      <c r="B187" s="1941" t="s">
        <v>4797</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4800</v>
      </c>
      <c r="G188" s="1937"/>
      <c r="M188" s="3659" t="s">
        <v>5169</v>
      </c>
      <c r="N188" s="3660"/>
      <c r="O188" s="3660"/>
      <c r="P188" s="3660"/>
      <c r="Q188" s="3661"/>
      <c r="AA188" s="2492">
        <v>187</v>
      </c>
    </row>
    <row r="189" spans="1:27" ht="15.6" customHeight="1">
      <c r="A189" s="1947"/>
      <c r="C189" s="1937"/>
      <c r="D189" s="1934" t="s">
        <v>4798</v>
      </c>
      <c r="O189" s="1943"/>
      <c r="P189" s="1962" t="s">
        <v>2645</v>
      </c>
      <c r="Q189" s="1955"/>
      <c r="R189" s="1943"/>
      <c r="AA189" s="2492">
        <v>188</v>
      </c>
    </row>
    <row r="190" spans="1:27" ht="15.6" customHeight="1">
      <c r="A190" s="1947"/>
      <c r="C190" s="1937"/>
      <c r="D190" s="1934" t="s">
        <v>4799</v>
      </c>
      <c r="O190" s="1943"/>
      <c r="P190" s="1959" t="s">
        <v>2645</v>
      </c>
      <c r="Q190" s="1960"/>
      <c r="R190" s="1943"/>
      <c r="AA190" s="2493">
        <v>189</v>
      </c>
    </row>
    <row r="191" spans="1:27" ht="15" customHeight="1">
      <c r="B191" s="1954" t="s">
        <v>3156</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583" t="s">
        <v>5203</v>
      </c>
      <c r="B192" s="3583"/>
      <c r="C192" s="3583"/>
      <c r="D192" s="3583"/>
      <c r="E192" s="3583"/>
      <c r="F192" s="3583"/>
      <c r="G192" s="3583"/>
      <c r="H192" s="3583"/>
      <c r="I192" s="3583"/>
      <c r="J192" s="3583"/>
      <c r="K192" s="3583"/>
      <c r="L192" s="3583"/>
      <c r="M192" s="3583"/>
      <c r="N192" s="3583"/>
      <c r="O192" s="3583"/>
      <c r="P192" s="3583"/>
      <c r="Q192" s="365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6"/>
      <c r="B194" s="3586"/>
      <c r="C194" s="3586"/>
      <c r="D194" s="3586"/>
      <c r="E194" s="3586"/>
      <c r="F194" s="3586"/>
      <c r="G194" s="3586"/>
      <c r="H194" s="3586"/>
      <c r="I194" s="3586"/>
      <c r="J194" s="3586"/>
      <c r="K194" s="3586"/>
      <c r="L194" s="3586"/>
      <c r="M194" s="3586"/>
      <c r="N194" s="3586"/>
      <c r="O194" s="3586"/>
      <c r="P194" s="3586"/>
      <c r="Q194" s="3639"/>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3283</v>
      </c>
      <c r="B197" s="1933" t="s">
        <v>2427</v>
      </c>
      <c r="C197" s="1933"/>
      <c r="D197" s="1933"/>
      <c r="E197" s="1933"/>
      <c r="F197" s="1933"/>
      <c r="G197" s="1933"/>
      <c r="H197" s="1940"/>
      <c r="I197" s="1940"/>
      <c r="J197" s="1940"/>
      <c r="K197" s="1940"/>
      <c r="L197" s="1940"/>
      <c r="M197" s="1940"/>
      <c r="O197" s="1936" t="s">
        <v>1726</v>
      </c>
      <c r="P197" s="3589"/>
      <c r="Q197" s="3638"/>
      <c r="AA197" s="2492">
        <v>196</v>
      </c>
    </row>
    <row r="198" spans="1:27" ht="15" customHeight="1">
      <c r="B198" s="1934" t="s">
        <v>4677</v>
      </c>
      <c r="P198" s="3603" t="s">
        <v>2645</v>
      </c>
      <c r="Q198" s="3656"/>
      <c r="AA198" s="2492">
        <v>197</v>
      </c>
    </row>
    <row r="199" spans="1:27" ht="28.5" customHeight="1">
      <c r="B199" s="3591" t="s">
        <v>5001</v>
      </c>
      <c r="C199" s="3591"/>
      <c r="D199" s="3591"/>
      <c r="E199" s="3591"/>
      <c r="F199" s="3591"/>
      <c r="G199" s="3591"/>
      <c r="H199" s="3591"/>
      <c r="I199" s="3591"/>
      <c r="J199" s="3591"/>
      <c r="K199" s="3591"/>
      <c r="L199" s="3591"/>
      <c r="M199" s="3591"/>
      <c r="N199" s="3591"/>
      <c r="P199" s="3608" t="s">
        <v>2642</v>
      </c>
      <c r="Q199" s="3657"/>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4" t="s">
        <v>4732</v>
      </c>
      <c r="D201" s="3594"/>
      <c r="E201" s="3594"/>
      <c r="F201" s="3648" t="s">
        <v>5025</v>
      </c>
      <c r="G201" s="3649"/>
      <c r="H201" s="3649"/>
      <c r="I201" s="3649"/>
      <c r="J201" s="3649"/>
      <c r="K201" s="3649"/>
      <c r="L201" s="3649"/>
      <c r="M201" s="3649"/>
      <c r="N201" s="3649"/>
      <c r="O201" s="3649"/>
      <c r="P201" s="3649"/>
      <c r="Q201" s="3650"/>
      <c r="AA201" s="2492">
        <v>200</v>
      </c>
    </row>
    <row r="202" spans="1:27" ht="30" customHeight="1">
      <c r="B202" s="1970" t="s">
        <v>1612</v>
      </c>
      <c r="C202" s="3594" t="s">
        <v>4733</v>
      </c>
      <c r="D202" s="3594"/>
      <c r="E202" s="3594"/>
      <c r="F202" s="3594"/>
      <c r="G202" s="3595"/>
      <c r="H202" s="3648" t="s">
        <v>4098</v>
      </c>
      <c r="I202" s="3649"/>
      <c r="J202" s="3649"/>
      <c r="K202" s="3649"/>
      <c r="L202" s="3649"/>
      <c r="M202" s="3649"/>
      <c r="N202" s="3649"/>
      <c r="O202" s="3649"/>
      <c r="P202" s="3649"/>
      <c r="Q202" s="3650"/>
      <c r="AA202" s="2492">
        <v>201</v>
      </c>
    </row>
    <row r="203" spans="1:27" ht="20.25" customHeight="1">
      <c r="A203" s="1947"/>
      <c r="B203" s="1970" t="s">
        <v>1613</v>
      </c>
      <c r="C203" s="3591" t="s">
        <v>4683</v>
      </c>
      <c r="D203" s="3591"/>
      <c r="E203" s="3591"/>
      <c r="F203" s="3591"/>
      <c r="G203" s="3591"/>
      <c r="H203" s="3591"/>
      <c r="I203" s="3591"/>
      <c r="J203" s="3591"/>
      <c r="K203" s="3591"/>
      <c r="L203" s="3591"/>
      <c r="M203" s="3591"/>
      <c r="N203" s="3591"/>
      <c r="O203" s="3591"/>
      <c r="P203" s="3591"/>
      <c r="Q203" s="3591"/>
      <c r="AA203" s="2492">
        <v>202</v>
      </c>
    </row>
    <row r="204" spans="1:27" ht="15.6" customHeight="1">
      <c r="A204" s="1947"/>
      <c r="B204" s="1943"/>
      <c r="C204" s="3651" t="s">
        <v>2805</v>
      </c>
      <c r="D204" s="3651"/>
      <c r="E204" s="3651"/>
      <c r="F204" s="3651"/>
      <c r="G204" s="3651"/>
      <c r="H204" s="3651"/>
      <c r="I204" s="3651"/>
      <c r="J204" s="3651"/>
      <c r="K204" s="3651"/>
      <c r="L204" s="3651"/>
      <c r="M204" s="3651"/>
      <c r="N204" s="3651"/>
      <c r="O204" s="3651"/>
      <c r="P204" s="3651"/>
      <c r="Q204" s="3652"/>
      <c r="AA204" s="2492">
        <v>203</v>
      </c>
    </row>
    <row r="205" spans="1:27" ht="15.6" customHeight="1">
      <c r="A205" s="1947"/>
      <c r="B205" s="1943"/>
      <c r="C205" s="3653"/>
      <c r="D205" s="3653"/>
      <c r="E205" s="3653"/>
      <c r="F205" s="3653"/>
      <c r="G205" s="3653"/>
      <c r="H205" s="3653"/>
      <c r="I205" s="3653"/>
      <c r="J205" s="3653"/>
      <c r="K205" s="3653"/>
      <c r="L205" s="3653"/>
      <c r="M205" s="3653"/>
      <c r="N205" s="3653"/>
      <c r="O205" s="3653"/>
      <c r="P205" s="3653"/>
      <c r="Q205" s="3654"/>
      <c r="AA205" s="2492">
        <v>204</v>
      </c>
    </row>
    <row r="206" spans="1:27" ht="15" customHeight="1">
      <c r="B206" s="1954" t="s">
        <v>3156</v>
      </c>
      <c r="D206" s="1954"/>
      <c r="E206" s="1954"/>
      <c r="F206" s="1954"/>
      <c r="G206" s="1954"/>
      <c r="H206" s="1942"/>
      <c r="I206" s="1935"/>
      <c r="J206" s="1935"/>
      <c r="K206" s="1935"/>
      <c r="L206" s="1932"/>
      <c r="M206" s="1932"/>
      <c r="N206" s="1932"/>
      <c r="O206" s="1932"/>
      <c r="P206" s="1932"/>
      <c r="Q206" s="1932"/>
      <c r="AA206" s="2492">
        <v>205</v>
      </c>
    </row>
    <row r="207" spans="1:27" ht="20.25" customHeight="1">
      <c r="A207" s="3583" t="s">
        <v>5155</v>
      </c>
      <c r="B207" s="3583"/>
      <c r="C207" s="3583"/>
      <c r="D207" s="3583"/>
      <c r="E207" s="3583"/>
      <c r="F207" s="3583"/>
      <c r="G207" s="3583"/>
      <c r="H207" s="3583"/>
      <c r="I207" s="3583"/>
      <c r="J207" s="3583"/>
      <c r="K207" s="3583"/>
      <c r="L207" s="3583"/>
      <c r="M207" s="3583"/>
      <c r="N207" s="3583"/>
      <c r="O207" s="3583"/>
      <c r="P207" s="3583"/>
      <c r="Q207" s="365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6"/>
      <c r="B209" s="3586"/>
      <c r="C209" s="3586"/>
      <c r="D209" s="3586"/>
      <c r="E209" s="3586"/>
      <c r="F209" s="3586"/>
      <c r="G209" s="3586"/>
      <c r="H209" s="3586"/>
      <c r="I209" s="3586"/>
      <c r="J209" s="3586"/>
      <c r="K209" s="3586"/>
      <c r="L209" s="3586"/>
      <c r="M209" s="3586"/>
      <c r="N209" s="3586"/>
      <c r="O209" s="3586"/>
      <c r="P209" s="3586"/>
      <c r="Q209" s="3639"/>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3281</v>
      </c>
      <c r="B212" s="1941" t="s">
        <v>4801</v>
      </c>
      <c r="C212" s="1941"/>
      <c r="D212" s="1940"/>
      <c r="E212" s="1940"/>
      <c r="F212" s="1940"/>
      <c r="G212" s="1940"/>
      <c r="H212" s="1940"/>
      <c r="N212" s="1961"/>
      <c r="O212" s="1936" t="s">
        <v>1726</v>
      </c>
      <c r="P212" s="3640"/>
      <c r="Q212" s="3641"/>
      <c r="AA212" s="2492">
        <v>211</v>
      </c>
    </row>
    <row r="213" spans="1:27" ht="15" customHeight="1">
      <c r="A213" s="1947"/>
      <c r="B213" s="1934" t="s">
        <v>4791</v>
      </c>
      <c r="O213" s="1943"/>
      <c r="P213" s="3642" t="s">
        <v>5156</v>
      </c>
      <c r="Q213" s="3643"/>
      <c r="AA213" s="2492">
        <v>212</v>
      </c>
    </row>
    <row r="214" spans="1:27" ht="15" customHeight="1">
      <c r="A214" s="1947"/>
      <c r="B214" s="1934" t="s">
        <v>4802</v>
      </c>
      <c r="O214" s="1943"/>
      <c r="P214" s="3644" t="s">
        <v>5156</v>
      </c>
      <c r="Q214" s="3645"/>
      <c r="AA214" s="2492">
        <v>213</v>
      </c>
    </row>
    <row r="215" spans="1:27" ht="15" customHeight="1">
      <c r="A215" s="1947"/>
      <c r="B215" s="1934" t="s">
        <v>4803</v>
      </c>
      <c r="C215" s="1937"/>
      <c r="K215" s="1935"/>
      <c r="M215" s="1943"/>
      <c r="O215" s="1988"/>
      <c r="P215" s="3644" t="s">
        <v>2645</v>
      </c>
      <c r="Q215" s="3645"/>
      <c r="AA215" s="2492">
        <v>214</v>
      </c>
    </row>
    <row r="216" spans="1:27" ht="29.45" customHeight="1">
      <c r="A216" s="1947"/>
      <c r="B216" s="3591" t="s">
        <v>4804</v>
      </c>
      <c r="C216" s="3591"/>
      <c r="D216" s="3591"/>
      <c r="E216" s="3591"/>
      <c r="F216" s="3591"/>
      <c r="G216" s="3591"/>
      <c r="H216" s="3591"/>
      <c r="I216" s="3591"/>
      <c r="J216" s="3591"/>
      <c r="K216" s="3591"/>
      <c r="L216" s="3591"/>
      <c r="M216" s="3591"/>
      <c r="N216" s="3591"/>
      <c r="O216" s="3591"/>
      <c r="P216" s="3646" t="s">
        <v>2645</v>
      </c>
      <c r="Q216" s="3647"/>
      <c r="AA216" s="2492">
        <v>215</v>
      </c>
    </row>
    <row r="217" spans="1:27" ht="15.6" customHeight="1">
      <c r="A217" s="1947"/>
      <c r="B217" s="1934" t="s">
        <v>4805</v>
      </c>
      <c r="M217" s="1937"/>
      <c r="N217" s="1937"/>
      <c r="O217" s="3630" t="s">
        <v>5046</v>
      </c>
      <c r="P217" s="3631"/>
      <c r="Q217" s="3632"/>
      <c r="AA217" s="2493">
        <v>216</v>
      </c>
    </row>
    <row r="218" spans="1:27" ht="15.6" customHeight="1">
      <c r="A218" s="1947"/>
      <c r="B218" s="1933" t="s">
        <v>4684</v>
      </c>
      <c r="G218" s="3589"/>
      <c r="H218" s="3633"/>
      <c r="I218" s="3633"/>
      <c r="J218" s="3633"/>
      <c r="K218" s="3633"/>
      <c r="L218" s="3590"/>
      <c r="M218" s="1937"/>
      <c r="N218" s="1937"/>
      <c r="O218" s="1937"/>
      <c r="P218" s="1937"/>
      <c r="Q218" s="1937"/>
      <c r="AA218" s="2492">
        <v>217</v>
      </c>
    </row>
    <row r="219" spans="1:27" ht="15" customHeight="1">
      <c r="B219" s="1954" t="s">
        <v>3156</v>
      </c>
      <c r="D219" s="1954"/>
      <c r="E219" s="1954"/>
      <c r="F219" s="1954"/>
      <c r="G219" s="1954"/>
      <c r="H219" s="1942"/>
      <c r="I219" s="1935"/>
      <c r="J219" s="1935"/>
      <c r="K219" s="1935"/>
      <c r="L219" s="1932"/>
      <c r="M219" s="1932"/>
      <c r="N219" s="1932"/>
      <c r="O219" s="1932"/>
      <c r="P219" s="1932"/>
      <c r="Q219" s="1932"/>
      <c r="AA219" s="2492">
        <v>218</v>
      </c>
    </row>
    <row r="220" spans="1:27" ht="98.25" customHeight="1">
      <c r="A220" s="3627" t="s">
        <v>5220</v>
      </c>
      <c r="B220" s="3634"/>
      <c r="C220" s="3634"/>
      <c r="D220" s="3634"/>
      <c r="E220" s="3634"/>
      <c r="F220" s="3634"/>
      <c r="G220" s="3634"/>
      <c r="H220" s="3634"/>
      <c r="I220" s="3634"/>
      <c r="J220" s="3634"/>
      <c r="K220" s="3634"/>
      <c r="L220" s="3634"/>
      <c r="M220" s="3634"/>
      <c r="N220" s="3634"/>
      <c r="O220" s="3634"/>
      <c r="P220" s="3634"/>
      <c r="Q220" s="3635"/>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5"/>
      <c r="B222" s="3636"/>
      <c r="C222" s="3636"/>
      <c r="D222" s="3636"/>
      <c r="E222" s="3636"/>
      <c r="F222" s="3636"/>
      <c r="G222" s="3636"/>
      <c r="H222" s="3636"/>
      <c r="I222" s="3636"/>
      <c r="J222" s="3636"/>
      <c r="K222" s="3636"/>
      <c r="L222" s="3636"/>
      <c r="M222" s="3636"/>
      <c r="N222" s="3636"/>
      <c r="O222" s="3636"/>
      <c r="P222" s="3636"/>
      <c r="Q222" s="3637"/>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3284</v>
      </c>
      <c r="B225" s="1933" t="s">
        <v>4433</v>
      </c>
      <c r="C225" s="1933"/>
      <c r="D225" s="1933"/>
      <c r="E225" s="1933"/>
      <c r="F225" s="1933"/>
      <c r="G225" s="1933"/>
      <c r="H225" s="1940"/>
      <c r="I225" s="1940"/>
      <c r="J225" s="1940"/>
      <c r="K225" s="1940"/>
      <c r="L225" s="1940"/>
      <c r="M225" s="1940"/>
      <c r="N225" s="1989"/>
      <c r="O225" s="1936" t="s">
        <v>1726</v>
      </c>
      <c r="P225" s="3589"/>
      <c r="Q225" s="3638"/>
      <c r="AA225" s="2492">
        <v>224</v>
      </c>
    </row>
    <row r="226" spans="1:28" ht="33.75" customHeight="1">
      <c r="A226" s="1941"/>
      <c r="B226" s="3591" t="s">
        <v>4685</v>
      </c>
      <c r="C226" s="3591"/>
      <c r="D226" s="3591"/>
      <c r="E226" s="3591"/>
      <c r="F226" s="3591"/>
      <c r="G226" s="3591"/>
      <c r="H226" s="3591"/>
      <c r="I226" s="3591"/>
      <c r="J226" s="3591"/>
      <c r="K226" s="3591"/>
      <c r="L226" s="3591"/>
      <c r="M226" s="3591"/>
      <c r="N226" s="3591"/>
      <c r="O226" s="3592"/>
      <c r="P226" s="3600"/>
      <c r="Q226" s="3601"/>
      <c r="AA226" s="2493">
        <v>225</v>
      </c>
    </row>
    <row r="227" spans="1:28" s="1990" customFormat="1" ht="15">
      <c r="A227" s="1963" t="s">
        <v>1836</v>
      </c>
      <c r="B227" s="2087" t="s">
        <v>4807</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4806</v>
      </c>
      <c r="D228" s="2060"/>
      <c r="E228" s="2060"/>
      <c r="G228" s="3594" t="s">
        <v>5002</v>
      </c>
      <c r="H228" s="3594"/>
      <c r="I228" s="3594"/>
      <c r="J228" s="3594"/>
      <c r="K228" s="3594"/>
      <c r="L228" s="3594"/>
      <c r="M228" s="3594"/>
      <c r="N228" s="3594"/>
      <c r="O228" s="3595"/>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4" t="s">
        <v>4808</v>
      </c>
      <c r="D229" s="3594"/>
      <c r="E229" s="3594"/>
      <c r="F229" s="3594"/>
      <c r="G229" s="3594" t="s">
        <v>5003</v>
      </c>
      <c r="H229" s="3594"/>
      <c r="I229" s="3594"/>
      <c r="J229" s="3594"/>
      <c r="K229" s="3594"/>
      <c r="L229" s="3594"/>
      <c r="M229" s="3594"/>
      <c r="N229" s="3594"/>
      <c r="O229" s="3595"/>
      <c r="P229" s="2089"/>
      <c r="Q229" s="1960"/>
      <c r="R229" s="2056"/>
      <c r="S229" s="2056"/>
      <c r="T229" s="2056"/>
      <c r="U229" s="2056"/>
      <c r="V229" s="2056"/>
      <c r="W229" s="2056"/>
      <c r="X229" s="2056"/>
      <c r="Y229" s="2056"/>
      <c r="Z229" s="2056"/>
      <c r="AA229" s="2492">
        <v>228</v>
      </c>
      <c r="AB229" s="2056"/>
    </row>
    <row r="230" spans="1:28" ht="44.25" customHeight="1">
      <c r="A230" s="1963" t="s">
        <v>1838</v>
      </c>
      <c r="B230" s="3594" t="s">
        <v>4809</v>
      </c>
      <c r="C230" s="3594"/>
      <c r="D230" s="3594"/>
      <c r="E230" s="3594"/>
      <c r="F230" s="3594"/>
      <c r="G230" s="3594"/>
      <c r="H230" s="3594"/>
      <c r="I230" s="3594"/>
      <c r="J230" s="3594"/>
      <c r="K230" s="3594"/>
      <c r="L230" s="3594"/>
      <c r="M230" s="3594"/>
      <c r="N230" s="3594"/>
      <c r="O230" s="3594"/>
      <c r="P230" s="2092"/>
      <c r="Q230" s="2091"/>
      <c r="AA230" s="2492">
        <v>229</v>
      </c>
    </row>
    <row r="231" spans="1:28" ht="20.25" customHeight="1">
      <c r="A231" s="1947" t="s">
        <v>697</v>
      </c>
      <c r="B231" s="1934" t="s">
        <v>4810</v>
      </c>
      <c r="G231" s="1934" t="s">
        <v>4811</v>
      </c>
      <c r="P231" s="2092"/>
      <c r="Q231" s="2091"/>
      <c r="AA231" s="2492">
        <v>230</v>
      </c>
    </row>
    <row r="232" spans="1:28" ht="45" customHeight="1">
      <c r="A232" s="1963" t="s">
        <v>1957</v>
      </c>
      <c r="B232" s="3594" t="s">
        <v>4686</v>
      </c>
      <c r="C232" s="3594"/>
      <c r="D232" s="3594"/>
      <c r="E232" s="3594"/>
      <c r="F232" s="3594"/>
      <c r="G232" s="3594"/>
      <c r="H232" s="3594"/>
      <c r="I232" s="3594"/>
      <c r="J232" s="3594"/>
      <c r="K232" s="3594"/>
      <c r="L232" s="3594"/>
      <c r="M232" s="3594"/>
      <c r="N232" s="3594"/>
      <c r="O232" s="3594"/>
      <c r="P232" s="2092"/>
      <c r="Q232" s="2091"/>
      <c r="AA232" s="2492">
        <v>231</v>
      </c>
    </row>
    <row r="233" spans="1:28" ht="15" customHeight="1">
      <c r="B233" s="1954" t="s">
        <v>3156</v>
      </c>
      <c r="D233" s="1954"/>
      <c r="E233" s="1954"/>
      <c r="F233" s="1954"/>
      <c r="G233" s="1954"/>
      <c r="H233" s="1942"/>
      <c r="I233" s="1935"/>
      <c r="J233" s="1935"/>
      <c r="K233" s="1935"/>
      <c r="L233" s="1932"/>
      <c r="M233" s="1932"/>
      <c r="N233" s="1932"/>
      <c r="O233" s="1932"/>
      <c r="P233" s="1932"/>
      <c r="Q233" s="1932"/>
      <c r="AA233" s="2492">
        <v>232</v>
      </c>
    </row>
    <row r="234" spans="1:28" ht="20.25" customHeight="1">
      <c r="A234" s="3627" t="s">
        <v>5157</v>
      </c>
      <c r="B234" s="3628"/>
      <c r="C234" s="3628"/>
      <c r="D234" s="3628"/>
      <c r="E234" s="3628"/>
      <c r="F234" s="3628"/>
      <c r="G234" s="3628"/>
      <c r="H234" s="3628"/>
      <c r="I234" s="3628"/>
      <c r="J234" s="3628"/>
      <c r="K234" s="3628"/>
      <c r="L234" s="3628"/>
      <c r="M234" s="3628"/>
      <c r="N234" s="3628"/>
      <c r="O234" s="3628"/>
      <c r="P234" s="3628"/>
      <c r="Q234" s="3629"/>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5"/>
      <c r="B236" s="3616"/>
      <c r="C236" s="3616"/>
      <c r="D236" s="3616"/>
      <c r="E236" s="3616"/>
      <c r="F236" s="3616"/>
      <c r="G236" s="3616"/>
      <c r="H236" s="3616"/>
      <c r="I236" s="3616"/>
      <c r="J236" s="3616"/>
      <c r="K236" s="3616"/>
      <c r="L236" s="3616"/>
      <c r="M236" s="3616"/>
      <c r="N236" s="3616"/>
      <c r="O236" s="3616"/>
      <c r="P236" s="3616"/>
      <c r="Q236" s="3617"/>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3285</v>
      </c>
      <c r="B239" s="1933" t="s">
        <v>3270</v>
      </c>
      <c r="C239" s="1933"/>
      <c r="D239" s="1933"/>
      <c r="E239" s="1933"/>
      <c r="F239" s="1933"/>
      <c r="G239" s="1933"/>
      <c r="H239" s="1940"/>
      <c r="I239" s="1940"/>
      <c r="J239" s="1940"/>
      <c r="K239" s="1940"/>
      <c r="L239" s="1940"/>
      <c r="M239" s="1940"/>
      <c r="N239" s="1991"/>
      <c r="O239" s="1936" t="s">
        <v>1726</v>
      </c>
      <c r="P239" s="3589"/>
      <c r="Q239" s="3590"/>
      <c r="AA239" s="2492">
        <v>238</v>
      </c>
    </row>
    <row r="240" spans="1:28" ht="20.25" customHeight="1">
      <c r="A240" s="1947"/>
      <c r="B240" s="3618" t="s">
        <v>3271</v>
      </c>
      <c r="C240" s="3618"/>
      <c r="D240" s="3618"/>
      <c r="E240" s="3618"/>
      <c r="F240" s="3619"/>
      <c r="G240" s="3620"/>
      <c r="H240" s="3621"/>
      <c r="I240" s="3621"/>
      <c r="J240" s="3621"/>
      <c r="K240" s="3621"/>
      <c r="L240" s="3621"/>
      <c r="M240" s="3621"/>
      <c r="N240" s="3621"/>
      <c r="O240" s="3621"/>
      <c r="P240" s="3621"/>
      <c r="Q240" s="3622"/>
      <c r="AA240" s="2492">
        <v>239</v>
      </c>
    </row>
    <row r="241" spans="1:27" ht="20.25" customHeight="1" thickBot="1">
      <c r="A241" s="1947"/>
      <c r="B241" s="3618" t="s">
        <v>3272</v>
      </c>
      <c r="C241" s="3618"/>
      <c r="D241" s="3618"/>
      <c r="E241" s="3618"/>
      <c r="F241" s="3619"/>
      <c r="G241" s="3623"/>
      <c r="H241" s="3624"/>
      <c r="I241" s="3624"/>
      <c r="J241" s="3624"/>
      <c r="K241" s="3624"/>
      <c r="L241" s="3624"/>
      <c r="M241" s="3624"/>
      <c r="N241" s="3624"/>
      <c r="O241" s="3624"/>
      <c r="P241" s="3625"/>
      <c r="Q241" s="3626"/>
      <c r="AA241" s="2492">
        <v>240</v>
      </c>
    </row>
    <row r="242" spans="1:27" ht="30" customHeight="1" thickBot="1">
      <c r="A242" s="1947"/>
      <c r="B242" s="3594" t="s">
        <v>5004</v>
      </c>
      <c r="C242" s="3594"/>
      <c r="D242" s="3594"/>
      <c r="E242" s="3594"/>
      <c r="F242" s="3594"/>
      <c r="G242" s="3594"/>
      <c r="H242" s="3594"/>
      <c r="I242" s="3594"/>
      <c r="J242" s="3594"/>
      <c r="K242" s="3594"/>
      <c r="L242" s="3594"/>
      <c r="M242" s="3594"/>
      <c r="N242" s="3594"/>
      <c r="O242" s="3612"/>
      <c r="P242" s="3613"/>
      <c r="Q242" s="3614"/>
      <c r="AA242" s="2492">
        <v>241</v>
      </c>
    </row>
    <row r="243" spans="1:27" ht="20.25" customHeight="1">
      <c r="B243" s="1954" t="s">
        <v>3156</v>
      </c>
      <c r="D243" s="1954"/>
      <c r="E243" s="1954"/>
      <c r="F243" s="1954"/>
      <c r="G243" s="1954"/>
      <c r="H243" s="1942"/>
      <c r="I243" s="1935"/>
      <c r="J243" s="1935"/>
      <c r="K243" s="1935"/>
      <c r="L243" s="1932"/>
      <c r="M243" s="1932"/>
      <c r="N243" s="1932"/>
      <c r="O243" s="1932"/>
      <c r="P243" s="1932"/>
      <c r="Q243" s="1932"/>
      <c r="AA243" s="2492">
        <v>242</v>
      </c>
    </row>
    <row r="244" spans="1:27" ht="20.25" customHeight="1">
      <c r="A244" s="3583" t="s">
        <v>5158</v>
      </c>
      <c r="B244" s="3584"/>
      <c r="C244" s="3584"/>
      <c r="D244" s="3584"/>
      <c r="E244" s="3584"/>
      <c r="F244" s="3584"/>
      <c r="G244" s="3584"/>
      <c r="H244" s="3584"/>
      <c r="I244" s="3584"/>
      <c r="J244" s="3584"/>
      <c r="K244" s="3584"/>
      <c r="L244" s="3584"/>
      <c r="M244" s="3584"/>
      <c r="N244" s="3584"/>
      <c r="O244" s="3584"/>
      <c r="P244" s="3584"/>
      <c r="Q244" s="358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6"/>
      <c r="B246" s="3587"/>
      <c r="C246" s="3587"/>
      <c r="D246" s="3587"/>
      <c r="E246" s="3587"/>
      <c r="F246" s="3587"/>
      <c r="G246" s="3587"/>
      <c r="H246" s="3587"/>
      <c r="I246" s="3587"/>
      <c r="J246" s="3587"/>
      <c r="K246" s="3587"/>
      <c r="L246" s="3587"/>
      <c r="M246" s="3587"/>
      <c r="N246" s="3587"/>
      <c r="O246" s="3587"/>
      <c r="P246" s="3587"/>
      <c r="Q246" s="3588"/>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3288</v>
      </c>
      <c r="B249" s="1933" t="s">
        <v>2428</v>
      </c>
      <c r="C249" s="1933"/>
      <c r="D249" s="1933"/>
      <c r="E249" s="1940"/>
      <c r="G249" s="1934" t="s">
        <v>654</v>
      </c>
      <c r="H249" s="1940"/>
      <c r="I249" s="1940"/>
      <c r="J249" s="1940"/>
      <c r="K249" s="1940"/>
      <c r="L249" s="1940"/>
      <c r="M249" s="1940"/>
      <c r="O249" s="1936" t="s">
        <v>1726</v>
      </c>
      <c r="P249" s="3589"/>
      <c r="Q249" s="3590"/>
      <c r="AA249" s="2492">
        <v>248</v>
      </c>
    </row>
    <row r="250" spans="1:27" ht="15.6" customHeight="1">
      <c r="A250" s="1947"/>
      <c r="B250" s="1934" t="s">
        <v>2431</v>
      </c>
      <c r="D250" s="1950"/>
      <c r="E250" s="1950"/>
      <c r="O250" s="1943"/>
      <c r="P250" s="3603" t="s">
        <v>2645</v>
      </c>
      <c r="Q250" s="3604"/>
      <c r="AA250" s="2492">
        <v>249</v>
      </c>
    </row>
    <row r="251" spans="1:27" ht="15.6" customHeight="1">
      <c r="A251" s="1947"/>
      <c r="B251" s="1934" t="s">
        <v>3059</v>
      </c>
      <c r="D251" s="1950"/>
      <c r="E251" s="1950"/>
      <c r="O251" s="1943"/>
      <c r="P251" s="3605" t="s">
        <v>2645</v>
      </c>
      <c r="Q251" s="3606"/>
      <c r="AA251" s="2492">
        <v>250</v>
      </c>
    </row>
    <row r="252" spans="1:27" ht="15.6" customHeight="1">
      <c r="A252" s="1947"/>
      <c r="B252" s="1934" t="s">
        <v>689</v>
      </c>
      <c r="D252" s="3583"/>
      <c r="E252" s="3584"/>
      <c r="F252" s="3584"/>
      <c r="G252" s="3584"/>
      <c r="H252" s="3584"/>
      <c r="I252" s="3584"/>
      <c r="J252" s="3584"/>
      <c r="K252" s="3584"/>
      <c r="L252" s="3584"/>
      <c r="M252" s="3584"/>
      <c r="N252" s="3584"/>
      <c r="O252" s="3584"/>
      <c r="P252" s="3610"/>
      <c r="Q252" s="3611"/>
      <c r="AA252" s="2492">
        <v>251</v>
      </c>
    </row>
    <row r="253" spans="1:27" ht="17.100000000000001" customHeight="1">
      <c r="B253" s="1954" t="s">
        <v>3156</v>
      </c>
      <c r="D253" s="1954"/>
      <c r="E253" s="1954"/>
      <c r="F253" s="1954"/>
      <c r="G253" s="1954"/>
      <c r="H253" s="1942"/>
      <c r="I253" s="1935"/>
      <c r="J253" s="1935"/>
      <c r="K253" s="1935"/>
      <c r="L253" s="1932"/>
      <c r="M253" s="1932"/>
      <c r="N253" s="1932"/>
      <c r="O253" s="1932"/>
      <c r="P253" s="1932"/>
      <c r="Q253" s="1932"/>
      <c r="AA253" s="2493">
        <v>252</v>
      </c>
    </row>
    <row r="254" spans="1:27" ht="20.25" customHeight="1">
      <c r="A254" s="3583" t="s">
        <v>5159</v>
      </c>
      <c r="B254" s="3584"/>
      <c r="C254" s="3584"/>
      <c r="D254" s="3584"/>
      <c r="E254" s="3584"/>
      <c r="F254" s="3584"/>
      <c r="G254" s="3584"/>
      <c r="H254" s="3584"/>
      <c r="I254" s="3584"/>
      <c r="J254" s="3584"/>
      <c r="K254" s="3584"/>
      <c r="L254" s="3584"/>
      <c r="M254" s="3584"/>
      <c r="N254" s="3584"/>
      <c r="O254" s="3584"/>
      <c r="P254" s="3584"/>
      <c r="Q254" s="358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6"/>
      <c r="B256" s="3587"/>
      <c r="C256" s="3587"/>
      <c r="D256" s="3587"/>
      <c r="E256" s="3587"/>
      <c r="F256" s="3587"/>
      <c r="G256" s="3587"/>
      <c r="H256" s="3587"/>
      <c r="I256" s="3587"/>
      <c r="J256" s="3587"/>
      <c r="K256" s="3587"/>
      <c r="L256" s="3587"/>
      <c r="M256" s="3587"/>
      <c r="N256" s="3587"/>
      <c r="O256" s="3587"/>
      <c r="P256" s="3587"/>
      <c r="Q256" s="3588"/>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3289</v>
      </c>
      <c r="B259" s="1933" t="s">
        <v>3813</v>
      </c>
      <c r="C259" s="1933"/>
      <c r="D259" s="1933"/>
      <c r="E259" s="1933"/>
      <c r="F259" s="1933"/>
      <c r="G259" s="1933"/>
      <c r="H259" s="1940"/>
      <c r="I259" s="1940"/>
      <c r="J259" s="1940"/>
      <c r="K259" s="1940"/>
      <c r="L259" s="1940"/>
      <c r="M259" s="1940"/>
      <c r="O259" s="1936" t="s">
        <v>1726</v>
      </c>
      <c r="P259" s="3589"/>
      <c r="Q259" s="3590"/>
      <c r="AA259" s="2492">
        <v>258</v>
      </c>
    </row>
    <row r="260" spans="1:27" ht="15.6" customHeight="1">
      <c r="B260" s="1934" t="s">
        <v>4147</v>
      </c>
      <c r="O260" s="1943"/>
      <c r="P260" s="3600"/>
      <c r="Q260" s="3601"/>
      <c r="AA260" s="2492">
        <v>259</v>
      </c>
    </row>
    <row r="261" spans="1:27" ht="15.6" customHeight="1">
      <c r="A261" s="1947"/>
      <c r="B261" s="3602" t="s">
        <v>700</v>
      </c>
      <c r="C261" s="3602"/>
      <c r="D261" s="3602"/>
      <c r="E261" s="3602"/>
      <c r="F261" s="3602"/>
      <c r="G261" s="3602"/>
      <c r="H261" s="3602"/>
      <c r="I261" s="3602"/>
      <c r="J261" s="3602"/>
      <c r="K261" s="3602"/>
      <c r="L261" s="3602"/>
      <c r="M261" s="3602"/>
      <c r="N261" s="3602"/>
      <c r="O261" s="3602"/>
      <c r="P261" s="3603"/>
      <c r="Q261" s="3604"/>
      <c r="AA261" s="2492">
        <v>260</v>
      </c>
    </row>
    <row r="262" spans="1:27" ht="15.6" customHeight="1">
      <c r="B262" s="3602" t="s">
        <v>4813</v>
      </c>
      <c r="C262" s="3602"/>
      <c r="D262" s="3602"/>
      <c r="E262" s="3602"/>
      <c r="F262" s="3602"/>
      <c r="G262" s="3602"/>
      <c r="H262" s="3602"/>
      <c r="I262" s="3602"/>
      <c r="J262" s="3602"/>
      <c r="K262" s="3602"/>
      <c r="L262" s="3602"/>
      <c r="M262" s="3602"/>
      <c r="N262" s="3602"/>
      <c r="O262" s="3602"/>
      <c r="P262" s="3605"/>
      <c r="Q262" s="3606"/>
      <c r="AA262" s="2493">
        <v>261</v>
      </c>
    </row>
    <row r="263" spans="1:27" ht="27.95" customHeight="1">
      <c r="A263" s="1947"/>
      <c r="B263" s="3607" t="s">
        <v>4812</v>
      </c>
      <c r="C263" s="3607"/>
      <c r="D263" s="3607"/>
      <c r="E263" s="3607"/>
      <c r="F263" s="3607"/>
      <c r="G263" s="3607"/>
      <c r="H263" s="3607"/>
      <c r="I263" s="3607"/>
      <c r="J263" s="3607"/>
      <c r="K263" s="3607"/>
      <c r="L263" s="3607"/>
      <c r="M263" s="3607"/>
      <c r="N263" s="3607"/>
      <c r="O263" s="3607"/>
      <c r="P263" s="3608"/>
      <c r="Q263" s="3609"/>
      <c r="AA263" s="2492">
        <v>262</v>
      </c>
    </row>
    <row r="264" spans="1:27" ht="17.100000000000001" customHeight="1">
      <c r="B264" s="1954" t="s">
        <v>3156</v>
      </c>
      <c r="D264" s="1954"/>
      <c r="E264" s="1954"/>
      <c r="F264" s="1954"/>
      <c r="G264" s="1954"/>
      <c r="H264" s="1942"/>
      <c r="I264" s="1935"/>
      <c r="J264" s="1935"/>
      <c r="K264" s="1935"/>
      <c r="AA264" s="2492">
        <v>263</v>
      </c>
    </row>
    <row r="265" spans="1:27" ht="20.25" customHeight="1">
      <c r="A265" s="3583" t="s">
        <v>5160</v>
      </c>
      <c r="B265" s="3584"/>
      <c r="C265" s="3584"/>
      <c r="D265" s="3584"/>
      <c r="E265" s="3584"/>
      <c r="F265" s="3584"/>
      <c r="G265" s="3584"/>
      <c r="H265" s="3584"/>
      <c r="I265" s="3584"/>
      <c r="J265" s="3584"/>
      <c r="K265" s="3584"/>
      <c r="L265" s="3584"/>
      <c r="M265" s="3584"/>
      <c r="N265" s="3584"/>
      <c r="O265" s="3584"/>
      <c r="P265" s="3584"/>
      <c r="Q265" s="358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6"/>
      <c r="B267" s="3587"/>
      <c r="C267" s="3587"/>
      <c r="D267" s="3587"/>
      <c r="E267" s="3587"/>
      <c r="F267" s="3587"/>
      <c r="G267" s="3587"/>
      <c r="H267" s="3587"/>
      <c r="I267" s="3587"/>
      <c r="J267" s="3587"/>
      <c r="K267" s="3587"/>
      <c r="L267" s="3587"/>
      <c r="M267" s="3587"/>
      <c r="N267" s="3587"/>
      <c r="O267" s="3587"/>
      <c r="P267" s="3587"/>
      <c r="Q267" s="3588"/>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3290</v>
      </c>
      <c r="B270" s="1933" t="s">
        <v>2502</v>
      </c>
      <c r="C270" s="1933"/>
      <c r="D270" s="1933"/>
      <c r="E270" s="1940"/>
      <c r="F270" s="1940"/>
      <c r="G270" s="1940"/>
      <c r="H270" s="1940"/>
      <c r="O270" s="1936" t="s">
        <v>1726</v>
      </c>
      <c r="P270" s="3597"/>
      <c r="Q270" s="3597"/>
      <c r="AA270" s="2492">
        <v>269</v>
      </c>
    </row>
    <row r="271" spans="1:27" ht="28.5" customHeight="1">
      <c r="A271" s="1937"/>
      <c r="B271" s="3591" t="s">
        <v>5015</v>
      </c>
      <c r="C271" s="3591"/>
      <c r="D271" s="3591"/>
      <c r="E271" s="3591"/>
      <c r="F271" s="3591"/>
      <c r="G271" s="3591"/>
      <c r="H271" s="3591"/>
      <c r="I271" s="3591"/>
      <c r="J271" s="3591"/>
      <c r="K271" s="3591"/>
      <c r="L271" s="3591"/>
      <c r="M271" s="3591"/>
      <c r="N271" s="3591"/>
      <c r="O271" s="1992"/>
      <c r="P271" s="3600" t="s">
        <v>5147</v>
      </c>
      <c r="Q271" s="3601"/>
      <c r="AA271" s="2493">
        <v>270</v>
      </c>
    </row>
    <row r="272" spans="1:27" ht="44.45" customHeight="1">
      <c r="A272" s="1963"/>
      <c r="B272" s="3594" t="s">
        <v>4689</v>
      </c>
      <c r="C272" s="3594"/>
      <c r="D272" s="3594"/>
      <c r="E272" s="3594"/>
      <c r="F272" s="3594"/>
      <c r="G272" s="3594"/>
      <c r="H272" s="3594"/>
      <c r="I272" s="3594"/>
      <c r="J272" s="3594"/>
      <c r="K272" s="3594"/>
      <c r="L272" s="3594"/>
      <c r="M272" s="3594"/>
      <c r="N272" s="3594"/>
      <c r="O272" s="3595"/>
      <c r="P272" s="3593" t="s">
        <v>5147</v>
      </c>
      <c r="Q272" s="3593"/>
      <c r="AA272" s="2492">
        <v>271</v>
      </c>
    </row>
    <row r="273" spans="1:27" ht="17.100000000000001" customHeight="1">
      <c r="B273" s="1954" t="s">
        <v>3156</v>
      </c>
      <c r="D273" s="1954"/>
      <c r="E273" s="1954"/>
      <c r="F273" s="1954"/>
      <c r="G273" s="1954"/>
      <c r="H273" s="1942"/>
      <c r="I273" s="1935"/>
      <c r="J273" s="1935"/>
      <c r="K273" s="1935"/>
      <c r="L273" s="1932"/>
      <c r="M273" s="1932"/>
      <c r="N273" s="1932"/>
      <c r="O273" s="1932"/>
      <c r="P273" s="1932"/>
      <c r="Q273" s="1932"/>
      <c r="AA273" s="2492">
        <v>272</v>
      </c>
    </row>
    <row r="274" spans="1:27" ht="20.25" customHeight="1">
      <c r="A274" s="3583" t="s">
        <v>5161</v>
      </c>
      <c r="B274" s="3584"/>
      <c r="C274" s="3584"/>
      <c r="D274" s="3584"/>
      <c r="E274" s="3584"/>
      <c r="F274" s="3584"/>
      <c r="G274" s="3584"/>
      <c r="H274" s="3584"/>
      <c r="I274" s="3584"/>
      <c r="J274" s="3584"/>
      <c r="K274" s="3584"/>
      <c r="L274" s="3584"/>
      <c r="M274" s="3584"/>
      <c r="N274" s="3584"/>
      <c r="O274" s="3584"/>
      <c r="P274" s="3584"/>
      <c r="Q274" s="358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6"/>
      <c r="B276" s="3587"/>
      <c r="C276" s="3587"/>
      <c r="D276" s="3587"/>
      <c r="E276" s="3587"/>
      <c r="F276" s="3587"/>
      <c r="G276" s="3587"/>
      <c r="H276" s="3587"/>
      <c r="I276" s="3587"/>
      <c r="J276" s="3587"/>
      <c r="K276" s="3587"/>
      <c r="L276" s="3587"/>
      <c r="M276" s="3587"/>
      <c r="N276" s="3587"/>
      <c r="O276" s="3587"/>
      <c r="P276" s="3587"/>
      <c r="Q276" s="3588"/>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3291</v>
      </c>
      <c r="B279" s="1941" t="s">
        <v>4814</v>
      </c>
      <c r="C279" s="1940"/>
      <c r="D279" s="1940"/>
      <c r="E279" s="1940"/>
      <c r="F279" s="1940"/>
      <c r="G279" s="1940"/>
      <c r="H279" s="1940"/>
      <c r="I279" s="1940"/>
      <c r="J279" s="1940"/>
      <c r="K279" s="1940"/>
      <c r="L279" s="1940"/>
      <c r="M279" s="1940"/>
      <c r="O279" s="1936" t="s">
        <v>1726</v>
      </c>
      <c r="P279" s="3597"/>
      <c r="Q279" s="3597"/>
      <c r="AA279" s="2492">
        <v>278</v>
      </c>
    </row>
    <row r="280" spans="1:27" ht="14.25" customHeight="1">
      <c r="A280" s="2090" t="s">
        <v>1836</v>
      </c>
      <c r="B280" s="1941" t="s">
        <v>4815</v>
      </c>
      <c r="C280" s="1941"/>
      <c r="D280" s="1942"/>
      <c r="E280" s="1940"/>
      <c r="F280" s="1940"/>
      <c r="G280" s="1940"/>
      <c r="H280" s="1940"/>
      <c r="I280" s="1940"/>
      <c r="J280" s="1940"/>
      <c r="K280" s="1940"/>
      <c r="L280" s="1940"/>
      <c r="M280" s="1940"/>
      <c r="Q280" s="1932"/>
      <c r="AA280" s="2493">
        <v>279</v>
      </c>
    </row>
    <row r="281" spans="1:27" ht="30" customHeight="1">
      <c r="A281" s="1942"/>
      <c r="B281" s="3594" t="s">
        <v>5005</v>
      </c>
      <c r="C281" s="3594"/>
      <c r="D281" s="3594"/>
      <c r="E281" s="3594"/>
      <c r="F281" s="3594"/>
      <c r="G281" s="3594"/>
      <c r="H281" s="3594"/>
      <c r="I281" s="3594"/>
      <c r="J281" s="3594"/>
      <c r="K281" s="3594"/>
      <c r="L281" s="3594"/>
      <c r="M281" s="3594"/>
      <c r="N281" s="3594"/>
      <c r="O281" s="3595"/>
      <c r="P281" s="3598" t="s">
        <v>5147</v>
      </c>
      <c r="Q281" s="3599"/>
      <c r="AA281" s="2492">
        <v>280</v>
      </c>
    </row>
    <row r="282" spans="1:27" ht="14.25" customHeight="1">
      <c r="A282" s="2090" t="s">
        <v>1838</v>
      </c>
      <c r="B282" s="1941" t="s">
        <v>4816</v>
      </c>
      <c r="C282" s="1937"/>
      <c r="D282" s="1942"/>
      <c r="E282" s="1940"/>
      <c r="F282" s="1940"/>
      <c r="G282" s="1940"/>
      <c r="H282" s="1940"/>
      <c r="I282" s="1940"/>
      <c r="J282" s="1940"/>
      <c r="K282" s="1940"/>
      <c r="L282" s="1940"/>
      <c r="M282" s="1940"/>
      <c r="Q282" s="1932"/>
      <c r="AA282" s="2492">
        <v>281</v>
      </c>
    </row>
    <row r="283" spans="1:27" ht="29.25" customHeight="1">
      <c r="A283" s="1942"/>
      <c r="B283" s="3594" t="s">
        <v>5012</v>
      </c>
      <c r="C283" s="3594"/>
      <c r="D283" s="3594"/>
      <c r="E283" s="3594"/>
      <c r="F283" s="3594"/>
      <c r="G283" s="3594"/>
      <c r="H283" s="3594"/>
      <c r="I283" s="3594"/>
      <c r="J283" s="3594"/>
      <c r="K283" s="3594"/>
      <c r="L283" s="3594"/>
      <c r="M283" s="3594"/>
      <c r="N283" s="3594"/>
      <c r="O283" s="3595"/>
      <c r="P283" s="3598" t="s">
        <v>5147</v>
      </c>
      <c r="Q283" s="3599"/>
      <c r="AA283" s="2492">
        <v>282</v>
      </c>
    </row>
    <row r="284" spans="1:27" ht="20.25" customHeight="1">
      <c r="A284" s="1941"/>
      <c r="B284" s="1954" t="s">
        <v>3156</v>
      </c>
      <c r="D284" s="1954"/>
      <c r="E284" s="1954"/>
      <c r="F284" s="1954"/>
      <c r="G284" s="1954"/>
      <c r="H284" s="1942"/>
      <c r="I284" s="1935"/>
      <c r="J284" s="1935"/>
      <c r="K284" s="1935"/>
      <c r="L284" s="1932"/>
      <c r="M284" s="1932"/>
      <c r="N284" s="1932"/>
      <c r="O284" s="1932"/>
      <c r="P284" s="1932"/>
      <c r="Q284" s="1932"/>
      <c r="AA284" s="2492">
        <v>283</v>
      </c>
    </row>
    <row r="285" spans="1:27" ht="34.5" customHeight="1">
      <c r="A285" s="3583" t="s">
        <v>5221</v>
      </c>
      <c r="B285" s="3584"/>
      <c r="C285" s="3584"/>
      <c r="D285" s="3584"/>
      <c r="E285" s="3584"/>
      <c r="F285" s="3584"/>
      <c r="G285" s="3584"/>
      <c r="H285" s="3584"/>
      <c r="I285" s="3584"/>
      <c r="J285" s="3584"/>
      <c r="K285" s="3584"/>
      <c r="L285" s="3584"/>
      <c r="M285" s="3584"/>
      <c r="N285" s="3584"/>
      <c r="O285" s="3584"/>
      <c r="P285" s="3584"/>
      <c r="Q285" s="358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6"/>
      <c r="B287" s="3587"/>
      <c r="C287" s="3587"/>
      <c r="D287" s="3587"/>
      <c r="E287" s="3587"/>
      <c r="F287" s="3587"/>
      <c r="G287" s="3587"/>
      <c r="H287" s="3587"/>
      <c r="I287" s="3587"/>
      <c r="J287" s="3587"/>
      <c r="K287" s="3587"/>
      <c r="L287" s="3587"/>
      <c r="M287" s="3587"/>
      <c r="N287" s="3587"/>
      <c r="O287" s="3587"/>
      <c r="P287" s="3587"/>
      <c r="Q287" s="3588"/>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3292</v>
      </c>
      <c r="B290" s="1941" t="s">
        <v>4817</v>
      </c>
      <c r="C290" s="1940"/>
      <c r="D290" s="1940"/>
      <c r="E290" s="1940"/>
      <c r="F290" s="1940"/>
      <c r="G290" s="1940"/>
      <c r="H290" s="1940"/>
      <c r="I290" s="1940"/>
      <c r="J290" s="1940"/>
      <c r="K290" s="1940"/>
      <c r="L290" s="1940"/>
      <c r="M290" s="1940"/>
      <c r="O290" s="1936" t="s">
        <v>1726</v>
      </c>
      <c r="P290" s="3597"/>
      <c r="Q290" s="3597"/>
      <c r="AA290" s="2492">
        <v>289</v>
      </c>
    </row>
    <row r="291" spans="1:27" ht="30.75" customHeight="1">
      <c r="A291" s="1941"/>
      <c r="B291" s="3591" t="s">
        <v>5006</v>
      </c>
      <c r="C291" s="3591"/>
      <c r="D291" s="3591"/>
      <c r="E291" s="3591"/>
      <c r="F291" s="3591"/>
      <c r="G291" s="3591"/>
      <c r="H291" s="3591"/>
      <c r="I291" s="3591"/>
      <c r="J291" s="3591"/>
      <c r="K291" s="3591"/>
      <c r="L291" s="3591"/>
      <c r="M291" s="3591"/>
      <c r="N291" s="3591"/>
      <c r="O291" s="3592"/>
      <c r="P291" s="3593" t="s">
        <v>2642</v>
      </c>
      <c r="Q291" s="3593"/>
      <c r="AA291" s="2492">
        <v>290</v>
      </c>
    </row>
    <row r="292" spans="1:27" ht="20.25" customHeight="1">
      <c r="A292" s="1941"/>
      <c r="B292" s="1954" t="s">
        <v>3156</v>
      </c>
      <c r="D292" s="1954"/>
      <c r="E292" s="1954"/>
      <c r="F292" s="1954"/>
      <c r="G292" s="1954"/>
      <c r="H292" s="1942"/>
      <c r="I292" s="1935"/>
      <c r="J292" s="1935"/>
      <c r="K292" s="1935"/>
      <c r="L292" s="1932"/>
      <c r="M292" s="1932"/>
      <c r="N292" s="1932"/>
      <c r="O292" s="1932"/>
      <c r="P292" s="1932"/>
      <c r="Q292" s="1932"/>
      <c r="AA292" s="2492">
        <v>291</v>
      </c>
    </row>
    <row r="293" spans="1:27" ht="20.25" customHeight="1">
      <c r="A293" s="3583" t="s">
        <v>5162</v>
      </c>
      <c r="B293" s="3584"/>
      <c r="C293" s="3584"/>
      <c r="D293" s="3584"/>
      <c r="E293" s="3584"/>
      <c r="F293" s="3584"/>
      <c r="G293" s="3584"/>
      <c r="H293" s="3584"/>
      <c r="I293" s="3584"/>
      <c r="J293" s="3584"/>
      <c r="K293" s="3584"/>
      <c r="L293" s="3584"/>
      <c r="M293" s="3584"/>
      <c r="N293" s="3584"/>
      <c r="O293" s="3584"/>
      <c r="P293" s="3584"/>
      <c r="Q293" s="358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6"/>
      <c r="B295" s="3587"/>
      <c r="C295" s="3587"/>
      <c r="D295" s="3587"/>
      <c r="E295" s="3587"/>
      <c r="F295" s="3587"/>
      <c r="G295" s="3587"/>
      <c r="H295" s="3587"/>
      <c r="I295" s="3587"/>
      <c r="J295" s="3587"/>
      <c r="K295" s="3587"/>
      <c r="L295" s="3587"/>
      <c r="M295" s="3587"/>
      <c r="N295" s="3587"/>
      <c r="O295" s="3587"/>
      <c r="P295" s="3587"/>
      <c r="Q295" s="3588"/>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3293</v>
      </c>
      <c r="B298" s="1933" t="s">
        <v>4819</v>
      </c>
      <c r="C298" s="1937"/>
      <c r="D298" s="1933"/>
      <c r="E298" s="1940"/>
      <c r="F298" s="1940"/>
      <c r="G298" s="1940"/>
      <c r="H298" s="1940"/>
      <c r="J298" s="1940"/>
      <c r="K298" s="1940"/>
      <c r="L298" s="1940"/>
      <c r="M298" s="1940"/>
      <c r="O298" s="1936" t="s">
        <v>1726</v>
      </c>
      <c r="P298" s="3589"/>
      <c r="Q298" s="3590"/>
      <c r="S298" s="1937"/>
      <c r="T298" s="1937"/>
      <c r="AA298" s="2493">
        <v>297</v>
      </c>
    </row>
    <row r="299" spans="1:27" ht="15">
      <c r="A299" s="1941"/>
      <c r="B299" s="3591" t="s">
        <v>5016</v>
      </c>
      <c r="C299" s="3591"/>
      <c r="D299" s="3591"/>
      <c r="E299" s="3591"/>
      <c r="F299" s="3591"/>
      <c r="G299" s="3591"/>
      <c r="H299" s="3591"/>
      <c r="I299" s="3591"/>
      <c r="J299" s="3591"/>
      <c r="K299" s="3591"/>
      <c r="L299" s="3591"/>
      <c r="M299" s="3591"/>
      <c r="N299" s="3591"/>
      <c r="O299" s="3592"/>
      <c r="P299" s="3593"/>
      <c r="Q299" s="3593"/>
      <c r="AA299" s="2492">
        <v>298</v>
      </c>
    </row>
    <row r="300" spans="1:27" ht="30" customHeight="1">
      <c r="A300" s="1941"/>
      <c r="B300" s="3594" t="s">
        <v>4820</v>
      </c>
      <c r="C300" s="3594"/>
      <c r="D300" s="3594"/>
      <c r="E300" s="3594"/>
      <c r="F300" s="3594"/>
      <c r="G300" s="3594"/>
      <c r="H300" s="3594"/>
      <c r="I300" s="3594"/>
      <c r="J300" s="3594"/>
      <c r="K300" s="3594"/>
      <c r="L300" s="3594"/>
      <c r="M300" s="3594"/>
      <c r="N300" s="3594"/>
      <c r="O300" s="3595"/>
      <c r="P300" s="3596"/>
      <c r="Q300" s="3596"/>
      <c r="AA300" s="2492">
        <v>299</v>
      </c>
    </row>
    <row r="301" spans="1:27" ht="20.25" customHeight="1">
      <c r="A301" s="1941"/>
      <c r="B301" s="1954" t="s">
        <v>3156</v>
      </c>
      <c r="D301" s="1954"/>
      <c r="E301" s="1954"/>
      <c r="F301" s="1954"/>
      <c r="G301" s="1954"/>
      <c r="H301" s="1942"/>
      <c r="I301" s="1935"/>
      <c r="J301" s="1935"/>
      <c r="K301" s="1935"/>
      <c r="L301" s="1932"/>
      <c r="M301" s="1932"/>
      <c r="N301" s="1932"/>
      <c r="O301" s="1932"/>
      <c r="P301" s="1932"/>
      <c r="Q301" s="1932"/>
      <c r="AA301" s="2492">
        <v>300</v>
      </c>
    </row>
    <row r="302" spans="1:27" ht="20.25" customHeight="1">
      <c r="A302" s="3583" t="s">
        <v>5163</v>
      </c>
      <c r="B302" s="3584"/>
      <c r="C302" s="3584"/>
      <c r="D302" s="3584"/>
      <c r="E302" s="3584"/>
      <c r="F302" s="3584"/>
      <c r="G302" s="3584"/>
      <c r="H302" s="3584"/>
      <c r="I302" s="3584"/>
      <c r="J302" s="3584"/>
      <c r="K302" s="3584"/>
      <c r="L302" s="3584"/>
      <c r="M302" s="3584"/>
      <c r="N302" s="3584"/>
      <c r="O302" s="3584"/>
      <c r="P302" s="3584"/>
      <c r="Q302" s="358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6"/>
      <c r="B304" s="3587"/>
      <c r="C304" s="3587"/>
      <c r="D304" s="3587"/>
      <c r="E304" s="3587"/>
      <c r="F304" s="3587"/>
      <c r="G304" s="3587"/>
      <c r="H304" s="3587"/>
      <c r="I304" s="3587"/>
      <c r="J304" s="3587"/>
      <c r="K304" s="3587"/>
      <c r="L304" s="3587"/>
      <c r="M304" s="3587"/>
      <c r="N304" s="3587"/>
      <c r="O304" s="3587"/>
      <c r="P304" s="3587"/>
      <c r="Q304" s="3588"/>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3678</v>
      </c>
      <c r="B307" s="1933" t="s">
        <v>2429</v>
      </c>
      <c r="C307" s="1937"/>
      <c r="D307" s="1933"/>
      <c r="E307" s="1940"/>
      <c r="F307" s="1940"/>
      <c r="G307" s="1940"/>
      <c r="H307" s="1940"/>
      <c r="J307" s="1940"/>
      <c r="K307" s="1940"/>
      <c r="L307" s="1940"/>
      <c r="M307" s="1940"/>
      <c r="O307" s="1936" t="s">
        <v>1726</v>
      </c>
      <c r="P307" s="3589"/>
      <c r="Q307" s="3590"/>
      <c r="AA307" s="2493">
        <v>306</v>
      </c>
    </row>
    <row r="308" spans="1:27" ht="20.25" customHeight="1">
      <c r="A308" s="1941"/>
      <c r="B308" s="1954" t="s">
        <v>3156</v>
      </c>
      <c r="D308" s="1954"/>
      <c r="E308" s="1954"/>
      <c r="F308" s="1954"/>
      <c r="G308" s="1954"/>
      <c r="H308" s="1942"/>
      <c r="I308" s="1935"/>
      <c r="J308" s="1935"/>
      <c r="K308" s="1935"/>
      <c r="L308" s="1932"/>
      <c r="M308" s="1932"/>
      <c r="N308" s="1932"/>
      <c r="O308" s="1932"/>
      <c r="P308" s="1932"/>
      <c r="Q308" s="1932"/>
      <c r="AA308" s="2492">
        <v>307</v>
      </c>
    </row>
    <row r="309" spans="1:27" ht="58.5" customHeight="1">
      <c r="A309" s="3583" t="s">
        <v>5222</v>
      </c>
      <c r="B309" s="3584"/>
      <c r="C309" s="3584"/>
      <c r="D309" s="3584"/>
      <c r="E309" s="3584"/>
      <c r="F309" s="3584"/>
      <c r="G309" s="3584"/>
      <c r="H309" s="3584"/>
      <c r="I309" s="3584"/>
      <c r="J309" s="3584"/>
      <c r="K309" s="3584"/>
      <c r="L309" s="3584"/>
      <c r="M309" s="3584"/>
      <c r="N309" s="3584"/>
      <c r="O309" s="3584"/>
      <c r="P309" s="3584"/>
      <c r="Q309" s="358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6"/>
      <c r="B311" s="3587"/>
      <c r="C311" s="3587"/>
      <c r="D311" s="3587"/>
      <c r="E311" s="3587"/>
      <c r="F311" s="3587"/>
      <c r="G311" s="3587"/>
      <c r="H311" s="3587"/>
      <c r="I311" s="3587"/>
      <c r="J311" s="3587"/>
      <c r="K311" s="3587"/>
      <c r="L311" s="3587"/>
      <c r="M311" s="3587"/>
      <c r="N311" s="3587"/>
      <c r="O311" s="3587"/>
      <c r="P311" s="3587"/>
      <c r="Q311" s="3588"/>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3915</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3916</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3917</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3921</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3918</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3919</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3920</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3194</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3195</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5046</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5047</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5048</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5049</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5024</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4098</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5025</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5026</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5027</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5028</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3727</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3724</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3755</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3725</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3774</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3775</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3726</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5029</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3249</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3170</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5040</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3171</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3172</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5041</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3245</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5042</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5043</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5044</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5045</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dKc9K7Z08uZVPRxD85ulphsOQPM5u0bMB62wRVN9uzSwDPViBPQIBzLiF/uWutC3OubA1ya9+VLUx68NXgKtNg==" saltValue="i+U0Gy2DDfoIFuxjYUomkQ=="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4" zoomScale="111" workbookViewId="0">
      <selection activeCell="S141" sqref="S141"/>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979" t="str">
        <f>CONCATENATE("PART EIGHT - SCORING CRITERIA","  -  ",'Part I-Project Identification'!$O$7," ",'Part I-Project Identification'!$F$26,", ",'Part I-Project Identification'!F27,", ",'Part I-Project Identification'!J27," County")</f>
        <v>PART EIGHT - SCORING CRITERIA  -  2024-0 Lewis Crossing, Atlanta, Fulton County</v>
      </c>
      <c r="B1" s="3980"/>
      <c r="C1" s="3980"/>
      <c r="D1" s="3980"/>
      <c r="E1" s="3980"/>
      <c r="F1" s="3980"/>
      <c r="G1" s="3980"/>
      <c r="H1" s="3980"/>
      <c r="I1" s="3980"/>
      <c r="J1" s="3980"/>
      <c r="K1" s="3980"/>
      <c r="L1" s="3980"/>
      <c r="M1" s="3980"/>
      <c r="N1" s="3980"/>
      <c r="O1" s="3980"/>
      <c r="P1" s="3981"/>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982" t="s">
        <v>5014</v>
      </c>
      <c r="B3" s="3982"/>
      <c r="C3" s="3982"/>
      <c r="D3" s="3982"/>
      <c r="E3" s="3982"/>
      <c r="F3" s="3982"/>
      <c r="G3" s="3982"/>
      <c r="H3" s="3982"/>
      <c r="I3" s="3982"/>
      <c r="J3" s="3982"/>
      <c r="K3" s="3982"/>
      <c r="L3" s="3982"/>
      <c r="M3" s="2113" t="s">
        <v>4728</v>
      </c>
      <c r="N3" s="2111"/>
      <c r="O3" s="2114" t="s">
        <v>2045</v>
      </c>
      <c r="P3" s="2113" t="s">
        <v>245</v>
      </c>
      <c r="Q3" s="2106"/>
      <c r="R3" s="2106"/>
      <c r="S3" s="2106"/>
      <c r="T3" s="2106"/>
      <c r="U3" s="2106"/>
      <c r="V3" s="2115"/>
      <c r="W3" s="2115"/>
      <c r="X3" s="2116"/>
      <c r="AM3" s="2495">
        <v>3</v>
      </c>
    </row>
    <row r="4" spans="1:39" s="2109" customFormat="1" ht="16.5" customHeight="1">
      <c r="A4" s="3982"/>
      <c r="B4" s="3982"/>
      <c r="C4" s="3982"/>
      <c r="D4" s="3982"/>
      <c r="E4" s="3982"/>
      <c r="F4" s="3982"/>
      <c r="G4" s="3982"/>
      <c r="H4" s="3982"/>
      <c r="I4" s="3982"/>
      <c r="J4" s="3982"/>
      <c r="K4" s="3982"/>
      <c r="L4" s="3982"/>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3" t="str">
        <f>'Part I-Project Identification'!$A$6</f>
        <v>2024 May 7</v>
      </c>
      <c r="C6" s="3983"/>
      <c r="D6" s="3983"/>
      <c r="E6" s="3983"/>
      <c r="F6" s="3983"/>
      <c r="L6" s="2112" t="s">
        <v>1151</v>
      </c>
      <c r="M6" s="2122"/>
      <c r="N6" s="2123"/>
      <c r="O6" s="2124">
        <f>O407</f>
        <v>83.5</v>
      </c>
      <c r="P6" s="2124">
        <f>P407</f>
        <v>12</v>
      </c>
      <c r="Q6" s="2125" t="s">
        <v>4691</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4037</v>
      </c>
      <c r="C8" s="2120"/>
      <c r="G8" s="2131"/>
      <c r="I8" s="2131"/>
      <c r="J8" s="2131"/>
      <c r="K8" s="2131"/>
      <c r="L8" s="2131"/>
      <c r="M8" s="2131"/>
      <c r="N8" s="2131"/>
      <c r="O8" s="2131"/>
      <c r="P8" s="2131"/>
      <c r="Q8" s="2126"/>
      <c r="AM8" s="2495">
        <v>8</v>
      </c>
    </row>
    <row r="9" spans="1:39" ht="8.1" customHeight="1">
      <c r="Q9" s="2134"/>
      <c r="AM9" s="2494">
        <v>9</v>
      </c>
    </row>
    <row r="10" spans="1:39" ht="13.5" customHeight="1">
      <c r="A10" s="3783" t="s">
        <v>4747</v>
      </c>
      <c r="B10" s="3783"/>
      <c r="C10" s="3783"/>
      <c r="D10" s="3783"/>
      <c r="E10" s="3984" t="str">
        <f>IF(OR((C12-A12&gt;0),(D12-A12&gt;0)),"Points Exceed Max!","")</f>
        <v/>
      </c>
      <c r="F10" s="3985" t="s">
        <v>4711</v>
      </c>
      <c r="G10" s="3986"/>
      <c r="H10" s="3986"/>
      <c r="I10" s="3987"/>
      <c r="J10" s="3991" t="s">
        <v>4040</v>
      </c>
      <c r="K10" s="3992"/>
      <c r="L10" s="3992"/>
      <c r="M10" s="3993"/>
      <c r="O10" s="3997" t="s">
        <v>4712</v>
      </c>
      <c r="P10" s="3997"/>
      <c r="Q10" s="2134"/>
      <c r="AM10" s="2494">
        <v>10</v>
      </c>
    </row>
    <row r="11" spans="1:39" ht="13.5" customHeight="1">
      <c r="A11" s="3999" t="s">
        <v>4728</v>
      </c>
      <c r="B11" s="4000"/>
      <c r="C11" s="2135" t="s">
        <v>2881</v>
      </c>
      <c r="D11" s="2136" t="s">
        <v>245</v>
      </c>
      <c r="E11" s="3984"/>
      <c r="F11" s="3988"/>
      <c r="G11" s="3989"/>
      <c r="H11" s="3989"/>
      <c r="I11" s="3990"/>
      <c r="J11" s="3994"/>
      <c r="K11" s="3995"/>
      <c r="L11" s="3995"/>
      <c r="M11" s="3996"/>
      <c r="O11" s="3998"/>
      <c r="P11" s="3998"/>
      <c r="AM11" s="2494">
        <v>11</v>
      </c>
    </row>
    <row r="12" spans="1:39" ht="10.5" customHeight="1">
      <c r="A12" s="4001">
        <v>33</v>
      </c>
      <c r="B12" s="4002"/>
      <c r="C12" s="3965">
        <f>IF($O$12="4%",O160+O169+O190+O206+O238+O265,0)</f>
        <v>0</v>
      </c>
      <c r="D12" s="3967">
        <f>IF($O$12="4%",P160+P169+P190+P206+P238+P265,0)</f>
        <v>0</v>
      </c>
      <c r="E12" s="3984"/>
      <c r="F12" s="3969" t="s">
        <v>4763</v>
      </c>
      <c r="G12" s="3970"/>
      <c r="H12" s="3973" t="s">
        <v>4603</v>
      </c>
      <c r="I12" s="3974"/>
      <c r="J12" s="3977" t="s">
        <v>2939</v>
      </c>
      <c r="K12" s="3977"/>
      <c r="L12" s="3973" t="s">
        <v>4604</v>
      </c>
      <c r="M12" s="3974"/>
      <c r="O12" s="400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6"/>
      <c r="AM12" s="2494">
        <v>12</v>
      </c>
    </row>
    <row r="13" spans="1:39" ht="10.5" customHeight="1">
      <c r="A13" s="4003"/>
      <c r="B13" s="4004"/>
      <c r="C13" s="3966"/>
      <c r="D13" s="3968"/>
      <c r="E13" s="3984"/>
      <c r="F13" s="3971"/>
      <c r="G13" s="3972"/>
      <c r="H13" s="3975"/>
      <c r="I13" s="3976"/>
      <c r="J13" s="3978"/>
      <c r="K13" s="3978"/>
      <c r="L13" s="3975"/>
      <c r="M13" s="3976"/>
      <c r="O13" s="4005"/>
      <c r="P13" s="4006"/>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953" t="s">
        <v>4948</v>
      </c>
      <c r="D15" s="3954"/>
      <c r="E15" s="3954"/>
      <c r="F15" s="3954"/>
      <c r="G15" s="3954"/>
      <c r="H15" s="3954"/>
      <c r="I15" s="3954"/>
      <c r="J15" s="3954"/>
      <c r="K15" s="3954"/>
      <c r="L15" s="3955"/>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956" t="s">
        <v>3307</v>
      </c>
      <c r="D16" s="3957"/>
      <c r="E16" s="3957"/>
      <c r="F16" s="3957"/>
      <c r="G16" s="3958"/>
      <c r="H16" s="3959" t="s">
        <v>4949</v>
      </c>
      <c r="I16" s="3960"/>
      <c r="J16" s="3960"/>
      <c r="K16" s="3960"/>
      <c r="L16" s="3961"/>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2" t="s">
        <v>5037</v>
      </c>
      <c r="D18" s="3963"/>
      <c r="E18" s="3963"/>
      <c r="F18" s="3963"/>
      <c r="G18" s="3963"/>
      <c r="H18" s="3963"/>
      <c r="I18" s="3963"/>
      <c r="J18" s="3963"/>
      <c r="K18" s="3963"/>
      <c r="L18" s="3963"/>
      <c r="M18" s="3964"/>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2509</v>
      </c>
      <c r="H20" s="2141"/>
      <c r="J20" s="2111"/>
      <c r="K20" s="2109"/>
      <c r="L20" s="2142" t="s">
        <v>4892</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4950</v>
      </c>
      <c r="D22" s="2145"/>
      <c r="E22" s="2145"/>
      <c r="G22" s="2108"/>
      <c r="L22" s="2146"/>
      <c r="M22" s="2111">
        <v>5</v>
      </c>
      <c r="N22" s="2152"/>
      <c r="O22" s="2004" t="s">
        <v>2642</v>
      </c>
      <c r="P22" s="2153"/>
      <c r="Q22" s="2149"/>
      <c r="R22" s="2150"/>
      <c r="T22" s="2140"/>
      <c r="U22" s="2140"/>
      <c r="AM22" s="2494">
        <v>22</v>
      </c>
    </row>
    <row r="23" spans="1:39" s="2109" customFormat="1" ht="15.95" customHeight="1">
      <c r="A23" s="2112"/>
      <c r="B23" s="2154" t="s">
        <v>1841</v>
      </c>
      <c r="C23" s="2141" t="s">
        <v>4951</v>
      </c>
      <c r="D23" s="2145"/>
      <c r="E23" s="2145"/>
      <c r="G23" s="2108"/>
      <c r="L23" s="2146"/>
      <c r="M23" s="2111">
        <v>3</v>
      </c>
      <c r="N23" s="2152"/>
      <c r="O23" s="2006" t="s">
        <v>5126</v>
      </c>
      <c r="P23" s="2155"/>
      <c r="Q23" s="2149"/>
      <c r="R23" s="2150"/>
      <c r="T23" s="2140"/>
      <c r="U23" s="2140"/>
      <c r="AM23" s="2495">
        <v>23</v>
      </c>
    </row>
    <row r="24" spans="1:39" s="2109" customFormat="1" ht="15.95" customHeight="1">
      <c r="A24" s="2112"/>
      <c r="B24" s="2154" t="s">
        <v>2326</v>
      </c>
      <c r="C24" s="2141" t="s">
        <v>4952</v>
      </c>
      <c r="D24" s="2145"/>
      <c r="E24" s="2145"/>
      <c r="G24" s="2108"/>
      <c r="K24" s="2147"/>
      <c r="M24" s="2111">
        <v>1</v>
      </c>
      <c r="N24" s="2152"/>
      <c r="O24" s="2003" t="s">
        <v>5126</v>
      </c>
      <c r="P24" s="2156"/>
      <c r="R24" s="2108"/>
      <c r="T24" s="2140"/>
      <c r="U24" s="2140"/>
      <c r="AM24" s="2495">
        <v>24</v>
      </c>
    </row>
    <row r="25" spans="1:39" ht="15.95" customHeight="1">
      <c r="A25" s="2112" t="s">
        <v>1838</v>
      </c>
      <c r="B25" s="2120" t="s">
        <v>3827</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6" t="s">
        <v>4953</v>
      </c>
      <c r="C26" s="3906"/>
      <c r="D26" s="3906"/>
      <c r="E26" s="3906"/>
      <c r="F26" s="3906"/>
      <c r="G26" s="3906"/>
      <c r="H26" s="3906"/>
      <c r="I26" s="3906"/>
      <c r="J26" s="3906"/>
      <c r="K26" s="3906"/>
      <c r="L26" s="3906"/>
      <c r="M26" s="2111"/>
      <c r="N26" s="2147"/>
      <c r="O26" s="2021" t="s">
        <v>5126</v>
      </c>
      <c r="P26" s="2160"/>
      <c r="R26" s="2146"/>
      <c r="T26" s="2140"/>
      <c r="U26" s="2140"/>
      <c r="AM26" s="2495">
        <v>26</v>
      </c>
    </row>
    <row r="27" spans="1:39" ht="15.95" customHeight="1">
      <c r="A27" s="2112" t="s">
        <v>697</v>
      </c>
      <c r="B27" s="2120" t="s">
        <v>4852</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89" t="s">
        <v>4954</v>
      </c>
      <c r="C28" s="3889"/>
      <c r="D28" s="3889"/>
      <c r="E28" s="3889"/>
      <c r="F28" s="3889"/>
      <c r="G28" s="3889"/>
      <c r="H28" s="3889"/>
      <c r="I28" s="3889"/>
      <c r="J28" s="3889"/>
      <c r="K28" s="3889"/>
      <c r="L28" s="3889"/>
      <c r="M28" s="2111"/>
      <c r="N28" s="2111"/>
      <c r="O28" s="2111"/>
      <c r="P28" s="2111"/>
      <c r="R28" s="2146"/>
      <c r="T28" s="2140"/>
      <c r="U28" s="2140"/>
      <c r="AM28" s="2495">
        <v>28</v>
      </c>
    </row>
    <row r="29" spans="1:39" s="2164" customFormat="1">
      <c r="B29" s="2154" t="s">
        <v>1839</v>
      </c>
      <c r="C29" s="2163" t="s">
        <v>4955</v>
      </c>
      <c r="D29" s="2161"/>
      <c r="E29" s="2161"/>
      <c r="F29" s="2161"/>
      <c r="G29" s="2161"/>
      <c r="H29" s="2161"/>
      <c r="I29" s="2161"/>
      <c r="J29" s="2161"/>
      <c r="K29" s="2161"/>
      <c r="L29" s="2161"/>
      <c r="M29" s="2165"/>
      <c r="N29" s="2166"/>
      <c r="O29" s="2097" t="s">
        <v>2642</v>
      </c>
      <c r="P29" s="2167"/>
      <c r="R29" s="2168"/>
      <c r="T29" s="2169"/>
      <c r="U29" s="2169"/>
      <c r="AM29" s="2494">
        <v>29</v>
      </c>
    </row>
    <row r="30" spans="1:39" s="2164" customFormat="1">
      <c r="B30" s="2154" t="s">
        <v>1841</v>
      </c>
      <c r="C30" s="2163" t="s">
        <v>4956</v>
      </c>
      <c r="D30" s="2161"/>
      <c r="E30" s="2161"/>
      <c r="F30" s="2161"/>
      <c r="G30" s="2161"/>
      <c r="H30" s="2161"/>
      <c r="I30" s="2161"/>
      <c r="J30" s="2161"/>
      <c r="K30" s="2161"/>
      <c r="L30" s="2161"/>
      <c r="M30" s="2165"/>
      <c r="N30" s="2166"/>
      <c r="O30" s="2016" t="s">
        <v>5126</v>
      </c>
      <c r="P30" s="2162"/>
      <c r="R30" s="2168"/>
      <c r="T30" s="2169"/>
      <c r="U30" s="2169"/>
      <c r="AM30" s="2494">
        <v>30</v>
      </c>
    </row>
    <row r="31" spans="1:39" s="2164" customFormat="1">
      <c r="B31" s="2163" t="s">
        <v>4957</v>
      </c>
      <c r="D31" s="2161"/>
      <c r="E31" s="2161"/>
      <c r="F31" s="2161"/>
      <c r="G31" s="2161"/>
      <c r="H31" s="2161"/>
      <c r="J31" s="3941"/>
      <c r="K31" s="3942"/>
      <c r="L31" s="3942"/>
      <c r="M31" s="3943"/>
      <c r="N31" s="2166"/>
      <c r="O31" s="2166"/>
      <c r="P31" s="2166"/>
      <c r="R31" s="2168"/>
      <c r="T31" s="2169"/>
      <c r="U31" s="2169"/>
      <c r="AM31" s="2494">
        <v>31</v>
      </c>
    </row>
    <row r="32" spans="1:39" s="2164" customFormat="1">
      <c r="B32" s="2154" t="s">
        <v>2326</v>
      </c>
      <c r="C32" s="3889" t="s">
        <v>4958</v>
      </c>
      <c r="D32" s="3889"/>
      <c r="E32" s="3889"/>
      <c r="F32" s="3889"/>
      <c r="G32" s="3889"/>
      <c r="H32" s="3889"/>
      <c r="I32" s="3889"/>
      <c r="J32" s="3889"/>
      <c r="K32" s="3889"/>
      <c r="L32" s="3889"/>
      <c r="M32" s="2165"/>
      <c r="N32" s="2166"/>
      <c r="O32" s="2018" t="s">
        <v>2642</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756"/>
      <c r="B34" s="3757"/>
      <c r="C34" s="3757"/>
      <c r="D34" s="3757"/>
      <c r="E34" s="3757"/>
      <c r="F34" s="3757"/>
      <c r="G34" s="3757"/>
      <c r="H34" s="3757"/>
      <c r="I34" s="3757"/>
      <c r="J34" s="3757"/>
      <c r="K34" s="3757"/>
      <c r="L34" s="3757"/>
      <c r="M34" s="3757"/>
      <c r="N34" s="3757"/>
      <c r="O34" s="3757"/>
      <c r="P34" s="375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4472</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4721</v>
      </c>
      <c r="D38" s="2133"/>
      <c r="E38" s="2133"/>
      <c r="J38" s="2178"/>
      <c r="M38" s="2179"/>
      <c r="O38" s="3944" t="s">
        <v>4722</v>
      </c>
      <c r="P38" s="3944" t="s">
        <v>3067</v>
      </c>
      <c r="Q38" s="2144"/>
      <c r="R38" s="2106"/>
      <c r="S38" s="2106"/>
      <c r="T38" s="2106"/>
      <c r="U38" s="2106"/>
      <c r="V38" s="2106"/>
      <c r="W38" s="2108"/>
      <c r="X38" s="2108"/>
      <c r="AM38" s="2495">
        <v>38</v>
      </c>
    </row>
    <row r="39" spans="1:39" s="2109" customFormat="1" ht="15.95" customHeight="1">
      <c r="A39" s="2132"/>
      <c r="C39" s="2109" t="s">
        <v>4584</v>
      </c>
      <c r="G39" s="3945"/>
      <c r="H39" s="3946"/>
      <c r="I39" s="3947"/>
      <c r="J39" s="3948"/>
      <c r="K39" s="2356"/>
      <c r="M39" s="2179"/>
      <c r="O39" s="3876"/>
      <c r="P39" s="3876"/>
      <c r="Q39" s="2144"/>
      <c r="V39" s="2106"/>
      <c r="W39" s="2108"/>
      <c r="X39" s="2108"/>
      <c r="AM39" s="2494">
        <v>39</v>
      </c>
    </row>
    <row r="40" spans="1:39" s="2109" customFormat="1" ht="15.95" customHeight="1">
      <c r="A40" s="2132"/>
      <c r="C40" s="2109" t="s">
        <v>4959</v>
      </c>
      <c r="G40" s="3949" t="s">
        <v>1641</v>
      </c>
      <c r="H40" s="3950"/>
      <c r="I40" s="2180"/>
      <c r="J40" s="2181"/>
      <c r="M40" s="2179"/>
      <c r="O40" s="3876"/>
      <c r="P40" s="3876"/>
      <c r="Q40" s="2144"/>
      <c r="V40" s="2106"/>
      <c r="W40" s="2108"/>
      <c r="X40" s="2108"/>
      <c r="AM40" s="2494">
        <v>40</v>
      </c>
    </row>
    <row r="41" spans="1:39" s="2109" customFormat="1" ht="15.95" customHeight="1">
      <c r="A41" s="2132"/>
      <c r="C41" s="2109" t="s">
        <v>4583</v>
      </c>
      <c r="G41" s="3951"/>
      <c r="H41" s="3952"/>
      <c r="I41" s="2356"/>
      <c r="M41" s="2179"/>
      <c r="O41" s="3877"/>
      <c r="P41" s="3877"/>
      <c r="Q41" s="2144"/>
      <c r="V41" s="2106"/>
      <c r="W41" s="2108"/>
      <c r="X41" s="2108"/>
      <c r="AM41" s="2494">
        <v>41</v>
      </c>
    </row>
    <row r="42" spans="1:39" ht="28.5" customHeight="1" thickBot="1">
      <c r="A42" s="2183"/>
      <c r="B42" s="2147"/>
      <c r="C42" s="3906" t="s">
        <v>4853</v>
      </c>
      <c r="D42" s="3906"/>
      <c r="E42" s="3906"/>
      <c r="F42" s="3906"/>
      <c r="G42" s="3906"/>
      <c r="H42" s="3906"/>
      <c r="I42" s="3906"/>
      <c r="J42" s="3906"/>
      <c r="K42" s="3906"/>
      <c r="L42" s="3906"/>
      <c r="M42" s="2109"/>
      <c r="N42" s="2147"/>
      <c r="O42" s="2395" t="s">
        <v>2645</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4473</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4960</v>
      </c>
      <c r="C45" s="2266"/>
      <c r="D45" s="2266"/>
      <c r="E45" s="2266"/>
      <c r="F45" s="2266"/>
      <c r="G45" s="2266"/>
      <c r="H45" s="2266"/>
      <c r="I45" s="2266"/>
      <c r="J45" s="2266"/>
      <c r="K45" s="2266"/>
      <c r="L45" s="2266"/>
      <c r="M45" s="2266"/>
      <c r="N45" s="2152"/>
      <c r="O45" s="2019" t="s">
        <v>2642</v>
      </c>
      <c r="P45" s="2187"/>
      <c r="Q45" s="2188"/>
      <c r="R45" s="2189"/>
      <c r="S45" s="2189"/>
      <c r="T45" s="2189"/>
      <c r="U45" s="2189"/>
      <c r="AM45" s="2495">
        <v>45</v>
      </c>
    </row>
    <row r="46" spans="1:39" ht="15.95" customHeight="1" thickBot="1">
      <c r="A46" s="2112" t="s">
        <v>1838</v>
      </c>
      <c r="B46" s="2184" t="s">
        <v>4474</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4961</v>
      </c>
      <c r="D47" s="2163"/>
      <c r="L47" s="2163"/>
      <c r="M47" s="2129"/>
      <c r="N47" s="2147"/>
      <c r="O47" s="2019" t="s">
        <v>2645</v>
      </c>
      <c r="P47" s="2187"/>
      <c r="Q47" s="2185"/>
      <c r="R47" s="2150"/>
      <c r="S47" s="2106"/>
      <c r="T47" s="2106"/>
      <c r="U47" s="2106"/>
      <c r="V47" s="2106"/>
      <c r="AM47" s="2494">
        <v>47</v>
      </c>
    </row>
    <row r="48" spans="1:39" ht="28.5" customHeight="1">
      <c r="A48" s="2112"/>
      <c r="B48" s="3889" t="s">
        <v>4854</v>
      </c>
      <c r="C48" s="3889"/>
      <c r="D48" s="3889"/>
      <c r="E48" s="3889"/>
      <c r="F48" s="3889"/>
      <c r="G48" s="3889"/>
      <c r="H48" s="3889"/>
      <c r="I48" s="3889"/>
      <c r="J48" s="3889"/>
      <c r="K48" s="3889"/>
      <c r="L48" s="3889"/>
      <c r="M48" s="3889"/>
      <c r="N48" s="2147"/>
      <c r="O48" s="2103" t="s">
        <v>5126</v>
      </c>
      <c r="P48" s="2190"/>
      <c r="Q48" s="2185"/>
      <c r="R48" s="2150"/>
      <c r="S48" s="2106"/>
      <c r="T48" s="2106"/>
      <c r="U48" s="2106"/>
      <c r="V48" s="2106"/>
      <c r="AM48" s="2495">
        <v>48</v>
      </c>
    </row>
    <row r="49" spans="1:39" ht="15.95" customHeight="1">
      <c r="A49" s="2109"/>
      <c r="B49" s="2131" t="s">
        <v>4843</v>
      </c>
      <c r="C49" s="2109"/>
      <c r="D49" s="2109"/>
      <c r="E49" s="2109"/>
      <c r="F49" s="2109"/>
      <c r="G49" s="2109"/>
      <c r="H49" s="2109"/>
      <c r="I49" s="2109"/>
      <c r="J49" s="2109"/>
      <c r="K49" s="2109"/>
      <c r="M49" s="2111"/>
      <c r="O49" s="2122"/>
      <c r="R49" s="2106"/>
      <c r="S49" s="2106"/>
      <c r="T49" s="2106"/>
      <c r="U49" s="2106"/>
      <c r="V49" s="2106"/>
      <c r="AM49" s="2494">
        <v>49</v>
      </c>
    </row>
    <row r="50" spans="1:39" ht="64.5" customHeight="1">
      <c r="A50" s="3776" t="s">
        <v>5127</v>
      </c>
      <c r="B50" s="3777"/>
      <c r="C50" s="3777"/>
      <c r="D50" s="3777"/>
      <c r="E50" s="3777"/>
      <c r="F50" s="3777"/>
      <c r="G50" s="3777"/>
      <c r="H50" s="3777"/>
      <c r="I50" s="3777"/>
      <c r="J50" s="3777"/>
      <c r="K50" s="3777"/>
      <c r="L50" s="3777"/>
      <c r="M50" s="3777"/>
      <c r="N50" s="3777"/>
      <c r="O50" s="3777"/>
      <c r="P50" s="3778"/>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756"/>
      <c r="B52" s="3757"/>
      <c r="C52" s="3757"/>
      <c r="D52" s="3757"/>
      <c r="E52" s="3757"/>
      <c r="F52" s="3757"/>
      <c r="G52" s="3757"/>
      <c r="H52" s="3757"/>
      <c r="I52" s="3757"/>
      <c r="J52" s="3757"/>
      <c r="K52" s="3757"/>
      <c r="L52" s="3757"/>
      <c r="M52" s="3757"/>
      <c r="N52" s="3757"/>
      <c r="O52" s="3757"/>
      <c r="P52" s="375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3259</v>
      </c>
      <c r="D55" s="2193"/>
      <c r="E55" s="2193"/>
      <c r="F55" s="2109"/>
      <c r="G55" s="2109"/>
      <c r="H55" s="2109"/>
      <c r="J55" s="2194"/>
      <c r="K55" s="2179"/>
      <c r="L55" s="2142" t="s">
        <v>4892</v>
      </c>
      <c r="M55" s="2122">
        <v>5</v>
      </c>
      <c r="N55" s="2111"/>
      <c r="O55" s="2195">
        <f>O56+O78</f>
        <v>3</v>
      </c>
      <c r="P55" s="2195">
        <f>P56+P78</f>
        <v>0</v>
      </c>
      <c r="Q55" s="2144" t="s">
        <v>415</v>
      </c>
      <c r="AM55" s="2495">
        <v>55</v>
      </c>
    </row>
    <row r="56" spans="1:39" ht="15.95" customHeight="1" thickBot="1">
      <c r="A56" s="2196" t="s">
        <v>1836</v>
      </c>
      <c r="B56" s="2120" t="s">
        <v>3260</v>
      </c>
      <c r="L56" s="2146" t="str">
        <f>IF(O56&lt;=M56,"","* * Check Score! * *")</f>
        <v/>
      </c>
      <c r="M56" s="2111">
        <v>4</v>
      </c>
      <c r="N56" s="2147"/>
      <c r="O56" s="2022">
        <v>3</v>
      </c>
      <c r="P56" s="2197"/>
      <c r="Q56" s="2149" t="str">
        <f>IF(O56&lt;=M56,"","*CHECK!*")</f>
        <v/>
      </c>
      <c r="R56" s="2125"/>
      <c r="S56" s="2125"/>
      <c r="T56" s="2107"/>
      <c r="AM56" s="2495">
        <v>56</v>
      </c>
    </row>
    <row r="57" spans="1:39" ht="30.95" customHeight="1">
      <c r="A57" s="2196"/>
      <c r="B57" s="3939" t="s">
        <v>4857</v>
      </c>
      <c r="C57" s="3939"/>
      <c r="D57" s="3939"/>
      <c r="E57" s="3939"/>
      <c r="F57" s="3939"/>
      <c r="G57" s="3939"/>
      <c r="H57" s="3939"/>
      <c r="I57" s="3939"/>
      <c r="J57" s="3939"/>
      <c r="K57" s="3939"/>
      <c r="L57" s="3939"/>
      <c r="N57" s="2108"/>
      <c r="O57" s="2023" t="s">
        <v>2642</v>
      </c>
      <c r="P57" s="2198"/>
      <c r="R57" s="2125"/>
      <c r="S57" s="2125"/>
      <c r="T57" s="2107"/>
      <c r="AM57" s="2494">
        <v>57</v>
      </c>
    </row>
    <row r="58" spans="1:39" ht="15.95" customHeight="1">
      <c r="A58" s="2196"/>
      <c r="B58" s="2199"/>
      <c r="C58" s="2164"/>
      <c r="D58" s="2164"/>
      <c r="E58" s="2164"/>
      <c r="F58" s="2164"/>
      <c r="G58" s="2164"/>
      <c r="H58" s="2164"/>
      <c r="I58" s="2164"/>
      <c r="J58" s="3940" t="s">
        <v>1843</v>
      </c>
      <c r="K58" s="3940"/>
      <c r="M58" s="3940" t="s">
        <v>1843</v>
      </c>
      <c r="N58" s="3940"/>
      <c r="O58" s="3940"/>
      <c r="P58" s="3940"/>
      <c r="R58" s="2200"/>
      <c r="S58" s="2200"/>
      <c r="T58" s="2107"/>
      <c r="AM58" s="2494">
        <v>58</v>
      </c>
    </row>
    <row r="59" spans="1:39" ht="14.1" customHeight="1">
      <c r="A59" s="2147"/>
      <c r="B59" s="2151" t="s">
        <v>1839</v>
      </c>
      <c r="C59" s="2109" t="s">
        <v>1386</v>
      </c>
      <c r="I59" s="2147"/>
      <c r="J59" s="3934"/>
      <c r="K59" s="3935"/>
      <c r="L59" s="2147"/>
      <c r="M59" s="3936"/>
      <c r="N59" s="3937"/>
      <c r="O59" s="3937"/>
      <c r="P59" s="3938"/>
      <c r="R59" s="2146"/>
      <c r="AM59" s="2495">
        <v>59</v>
      </c>
    </row>
    <row r="60" spans="1:39" ht="14.1" customHeight="1">
      <c r="A60" s="2142"/>
      <c r="B60" s="2154" t="s">
        <v>1841</v>
      </c>
      <c r="C60" s="2109" t="s">
        <v>3072</v>
      </c>
      <c r="I60" s="2166"/>
      <c r="J60" s="3926"/>
      <c r="K60" s="3927"/>
      <c r="L60" s="2166"/>
      <c r="M60" s="3928"/>
      <c r="N60" s="3929"/>
      <c r="O60" s="3929"/>
      <c r="P60" s="3930"/>
      <c r="AM60" s="2495">
        <v>60</v>
      </c>
    </row>
    <row r="61" spans="1:39" ht="14.1" customHeight="1">
      <c r="B61" s="2151" t="s">
        <v>2326</v>
      </c>
      <c r="C61" s="2109" t="s">
        <v>3828</v>
      </c>
      <c r="I61" s="2147"/>
      <c r="J61" s="3926"/>
      <c r="K61" s="3927"/>
      <c r="L61" s="2147"/>
      <c r="M61" s="3928"/>
      <c r="N61" s="3929"/>
      <c r="O61" s="3929"/>
      <c r="P61" s="3930"/>
      <c r="AM61" s="2495">
        <v>61</v>
      </c>
    </row>
    <row r="62" spans="1:39" ht="14.1" customHeight="1">
      <c r="B62" s="2151" t="s">
        <v>1149</v>
      </c>
      <c r="C62" s="2109" t="s">
        <v>4855</v>
      </c>
      <c r="I62" s="2147"/>
      <c r="J62" s="3926"/>
      <c r="K62" s="3927"/>
      <c r="L62" s="2147"/>
      <c r="M62" s="3928"/>
      <c r="N62" s="3929"/>
      <c r="O62" s="3929"/>
      <c r="P62" s="3930"/>
      <c r="AM62" s="2495">
        <v>62</v>
      </c>
    </row>
    <row r="63" spans="1:39" ht="14.1" customHeight="1">
      <c r="A63" s="2142"/>
      <c r="B63" s="2154" t="s">
        <v>1150</v>
      </c>
      <c r="C63" s="2109" t="s">
        <v>2988</v>
      </c>
      <c r="I63" s="2147"/>
      <c r="J63" s="3926"/>
      <c r="K63" s="3927"/>
      <c r="L63" s="2147"/>
      <c r="M63" s="3928"/>
      <c r="N63" s="3929"/>
      <c r="O63" s="3929"/>
      <c r="P63" s="3930"/>
      <c r="AM63" s="2494">
        <v>63</v>
      </c>
    </row>
    <row r="64" spans="1:39" ht="14.1" customHeight="1">
      <c r="A64" s="2147"/>
      <c r="B64" s="2151" t="s">
        <v>1737</v>
      </c>
      <c r="C64" s="2109" t="s">
        <v>2467</v>
      </c>
      <c r="I64" s="2166"/>
      <c r="J64" s="3926"/>
      <c r="K64" s="3927"/>
      <c r="L64" s="2166"/>
      <c r="M64" s="3928"/>
      <c r="N64" s="3929"/>
      <c r="O64" s="3929"/>
      <c r="P64" s="3930"/>
      <c r="AM64" s="2495">
        <v>64</v>
      </c>
    </row>
    <row r="65" spans="1:39" ht="14.1" customHeight="1">
      <c r="B65" s="2151" t="s">
        <v>472</v>
      </c>
      <c r="C65" s="2109" t="s">
        <v>1385</v>
      </c>
      <c r="I65" s="2147"/>
      <c r="J65" s="3926"/>
      <c r="K65" s="3927"/>
      <c r="L65" s="2147"/>
      <c r="M65" s="3928"/>
      <c r="N65" s="3929"/>
      <c r="O65" s="3929"/>
      <c r="P65" s="3930"/>
      <c r="AM65" s="2494">
        <v>65</v>
      </c>
    </row>
    <row r="66" spans="1:39" ht="14.1" customHeight="1">
      <c r="B66" s="2151" t="s">
        <v>473</v>
      </c>
      <c r="C66" s="2109" t="s">
        <v>4129</v>
      </c>
      <c r="I66" s="2147"/>
      <c r="J66" s="3926"/>
      <c r="K66" s="3927"/>
      <c r="L66" s="2147"/>
      <c r="M66" s="3928"/>
      <c r="N66" s="3929"/>
      <c r="O66" s="3929"/>
      <c r="P66" s="3930"/>
      <c r="R66" s="2146"/>
      <c r="AM66" s="2494">
        <v>66</v>
      </c>
    </row>
    <row r="67" spans="1:39" ht="14.1" customHeight="1">
      <c r="A67" s="2142"/>
      <c r="B67" s="2151" t="s">
        <v>3764</v>
      </c>
      <c r="C67" s="2109" t="s">
        <v>3071</v>
      </c>
      <c r="I67" s="2147"/>
      <c r="J67" s="3926"/>
      <c r="K67" s="3927"/>
      <c r="L67" s="2147"/>
      <c r="M67" s="3928"/>
      <c r="N67" s="3929"/>
      <c r="O67" s="3929"/>
      <c r="P67" s="3930"/>
      <c r="R67" s="2146"/>
      <c r="AM67" s="2494">
        <v>67</v>
      </c>
    </row>
    <row r="68" spans="1:39" ht="14.1" customHeight="1">
      <c r="B68" s="2151" t="s">
        <v>4702</v>
      </c>
      <c r="C68" s="2109" t="s">
        <v>4701</v>
      </c>
      <c r="I68" s="2147"/>
      <c r="J68" s="3926"/>
      <c r="K68" s="3927"/>
      <c r="L68" s="2147"/>
      <c r="M68" s="3928"/>
      <c r="N68" s="3929"/>
      <c r="O68" s="3929"/>
      <c r="P68" s="3930"/>
      <c r="R68" s="2146"/>
      <c r="AM68" s="2494">
        <v>68</v>
      </c>
    </row>
    <row r="69" spans="1:39" ht="14.1" customHeight="1">
      <c r="B69" s="2151" t="s">
        <v>4703</v>
      </c>
      <c r="C69" s="2109" t="s">
        <v>4723</v>
      </c>
      <c r="I69" s="2147"/>
      <c r="J69" s="3926"/>
      <c r="K69" s="3927"/>
      <c r="L69" s="2147"/>
      <c r="M69" s="3928"/>
      <c r="N69" s="3929"/>
      <c r="O69" s="3929"/>
      <c r="P69" s="3930"/>
      <c r="R69" s="2146"/>
      <c r="AM69" s="2494">
        <v>69</v>
      </c>
    </row>
    <row r="70" spans="1:39" ht="14.1" customHeight="1" thickBot="1">
      <c r="B70" s="2151" t="s">
        <v>4856</v>
      </c>
      <c r="C70" s="2109" t="s">
        <v>4724</v>
      </c>
      <c r="I70" s="2147"/>
      <c r="J70" s="3926">
        <v>1500000</v>
      </c>
      <c r="K70" s="3927"/>
      <c r="L70" s="2147"/>
      <c r="M70" s="3931"/>
      <c r="N70" s="3932"/>
      <c r="O70" s="3932"/>
      <c r="P70" s="3933"/>
      <c r="R70" s="2146"/>
      <c r="AM70" s="2494">
        <v>70</v>
      </c>
    </row>
    <row r="71" spans="1:39" ht="15.95" customHeight="1" thickBot="1">
      <c r="B71" s="2109"/>
      <c r="I71" s="2128" t="s">
        <v>2406</v>
      </c>
      <c r="J71" s="3918">
        <f>SUM(J59:K70)</f>
        <v>1500000</v>
      </c>
      <c r="K71" s="3919"/>
      <c r="M71" s="3918">
        <f>SUM($M59:$M70)</f>
        <v>0</v>
      </c>
      <c r="N71" s="3920"/>
      <c r="O71" s="3920"/>
      <c r="P71" s="3919"/>
      <c r="U71" s="3783" t="s">
        <v>4729</v>
      </c>
      <c r="V71" s="3783"/>
      <c r="W71" s="3783"/>
      <c r="X71" s="3783"/>
      <c r="Y71" s="3783"/>
      <c r="Z71" s="3783"/>
      <c r="AM71" s="2495">
        <v>71</v>
      </c>
    </row>
    <row r="72" spans="1:39" ht="15.95" customHeight="1">
      <c r="M72" s="2125"/>
      <c r="N72" s="2125"/>
      <c r="O72" s="2108"/>
      <c r="P72" s="2125"/>
      <c r="U72" s="2201" t="s">
        <v>4727</v>
      </c>
      <c r="V72" s="2201" t="s">
        <v>4728</v>
      </c>
      <c r="W72" s="2201" t="s">
        <v>4727</v>
      </c>
      <c r="X72" s="2201" t="s">
        <v>4728</v>
      </c>
      <c r="Y72" s="2201" t="s">
        <v>4727</v>
      </c>
      <c r="Z72" s="2201" t="s">
        <v>4728</v>
      </c>
      <c r="AM72" s="2495">
        <v>72</v>
      </c>
    </row>
    <row r="73" spans="1:39" ht="15.95" customHeight="1">
      <c r="A73" s="2109"/>
      <c r="B73" s="2151"/>
      <c r="C73" s="2193" t="s">
        <v>2405</v>
      </c>
      <c r="D73" s="2127"/>
      <c r="E73" s="2127"/>
      <c r="I73" s="2147" t="s">
        <v>4132</v>
      </c>
      <c r="J73" s="3910">
        <f>'Part V-Revenues &amp; Expenses'!$P$67</f>
        <v>50</v>
      </c>
      <c r="K73" s="3911"/>
      <c r="L73" s="2125"/>
      <c r="M73" s="2125"/>
      <c r="N73" s="2125"/>
      <c r="O73" s="2108"/>
      <c r="P73" s="2125"/>
      <c r="R73" s="2202" t="s">
        <v>4725</v>
      </c>
      <c r="U73" s="2203">
        <v>500000</v>
      </c>
      <c r="V73" s="2204">
        <v>999999.99</v>
      </c>
      <c r="W73" s="2203">
        <v>1000000</v>
      </c>
      <c r="X73" s="2204">
        <v>1999999.99</v>
      </c>
      <c r="Y73" s="2203">
        <v>2000000</v>
      </c>
      <c r="Z73" s="2205"/>
      <c r="AM73" s="2495">
        <v>73</v>
      </c>
    </row>
    <row r="74" spans="1:39" ht="15.95" customHeight="1">
      <c r="C74" s="2127"/>
      <c r="D74" s="2127"/>
      <c r="E74" s="2127"/>
      <c r="I74" s="2206" t="s">
        <v>4133</v>
      </c>
      <c r="J74" s="3921">
        <f>IF(J73=0,0,J71/J73)</f>
        <v>30000</v>
      </c>
      <c r="K74" s="3922"/>
      <c r="M74" s="3923">
        <f>IF(J73=0,0,M71/J73)</f>
        <v>0</v>
      </c>
      <c r="N74" s="3924"/>
      <c r="O74" s="3924"/>
      <c r="P74" s="3925"/>
      <c r="R74" s="2202" t="s">
        <v>4726</v>
      </c>
      <c r="U74" s="2207">
        <v>10000</v>
      </c>
      <c r="V74" s="2208">
        <v>19999.990000000002</v>
      </c>
      <c r="W74" s="2207">
        <v>20000</v>
      </c>
      <c r="X74" s="2208">
        <v>29999.99</v>
      </c>
      <c r="Y74" s="2207">
        <v>30000</v>
      </c>
      <c r="Z74" s="2209"/>
      <c r="AM74" s="2494">
        <v>74</v>
      </c>
    </row>
    <row r="75" spans="1:39" ht="15.95" customHeight="1">
      <c r="C75" s="2127"/>
      <c r="D75" s="2127"/>
      <c r="E75" s="2127"/>
      <c r="I75" s="2142" t="s">
        <v>4704</v>
      </c>
      <c r="J75" s="3910">
        <f>IF(AND(J62+J67&gt;0,J71&gt;=$Y$73),$Y$75, IF(AND(J62+J67=0,J71&gt;=$Y$73),$Y$76, IF(AND(J62+J67&gt;0,J71&gt;=$W$73),$W$75,IF(AND(J62+J67=0,J71&gt;=$W$73),$W$76, IF(AND(J62+J67&gt;0,J71&gt;=$U$73),$U$75,IF(AND(J62+J67=0,J71&gt;=$U$73),$U$76,0))))))</f>
        <v>2</v>
      </c>
      <c r="K75" s="3911"/>
      <c r="M75" s="3910">
        <f>IF(AND(M62+M67&gt;0,M71&gt;=$Y$73),$Y$75, IF(AND(M62+M67=0,M71&gt;=$Y$73),$Y$76, IF(AND(M62+M67&gt;0,M71&gt;=$W$73),$W$75,IF(AND(M62+M67=0,M71&gt;=$W$73),$W$76, IF(AND(M62+M67&gt;0,M71&gt;=$U$73),$U$75,IF(AND(M62+M67=0,M71&gt;=$U$73),$U$76,0))))))</f>
        <v>0</v>
      </c>
      <c r="N75" s="3912"/>
      <c r="O75" s="3912">
        <f>IF(AND(O62+O67&gt;0,O71&gt;=$Y$73),$Y$75, IF(AND(O62+O67=0,O71&gt;=$Y$73),$Y$76, IF(AND(O62+O67&gt;0,O71&gt;=$W$73),$W$75,IF(AND(O62+O67=0,O71&gt;=$W$73),$W$76, IF(AND(O62+O67&gt;0,O71&gt;=$U$73),$U$75,IF(AND(O62+O67=0,O71&gt;=$U$73),$U$76,0))))))</f>
        <v>0</v>
      </c>
      <c r="P75" s="3911"/>
      <c r="R75" s="2202" t="s">
        <v>4858</v>
      </c>
      <c r="U75" s="3913">
        <v>2</v>
      </c>
      <c r="V75" s="3914"/>
      <c r="W75" s="3913">
        <v>3</v>
      </c>
      <c r="X75" s="3914"/>
      <c r="Y75" s="3913">
        <v>4</v>
      </c>
      <c r="Z75" s="3914"/>
      <c r="AM75" s="2494">
        <v>75</v>
      </c>
    </row>
    <row r="76" spans="1:39" ht="15.95" customHeight="1">
      <c r="C76" s="2127"/>
      <c r="D76" s="2127"/>
      <c r="E76" s="2127"/>
      <c r="I76" s="2142" t="s">
        <v>4134</v>
      </c>
      <c r="J76" s="3915">
        <f>IF(AND(J62+J67&gt;0,$J$74&gt;=$Y$74),$Y$75,IF(AND(J62+J67=0,$J$74&gt;=$Y$74),$Y$76,IF(AND(J62+J67&gt;0,$J$74&gt;=$W$74),$W$75,IF(AND(J62+J67=0,$J$74&gt;=$W$74),$W$76,IF(AND(J62+J67&gt;0,$J$74&gt;=$U$74),$U$75,IF(AND(J62+J67=0,$J$74&gt;=$U$74),$U$76,0))))))</f>
        <v>3</v>
      </c>
      <c r="K76" s="3916"/>
      <c r="L76" s="2125"/>
      <c r="M76" s="3915">
        <f>IF(AND(M62+M67&gt;0,$M$74&gt;=$Y$74),$Y$75,IF(AND(M62+M67=0,$M$74&gt;=$Y$74),$Y$76,IF(AND(M62+M67&gt;0,$M$74&gt;=$W$74),$W$75,IF(AND(M62+M67=0,$M$74&gt;=$W$74),$W$76,IF(AND(M62+M67&gt;0,$M$74&gt;=$U$74),$U$75,IF(AND(M62+M67=0,$M$74&gt;=$U$74),$U$76,0))))))</f>
        <v>0</v>
      </c>
      <c r="N76" s="3917"/>
      <c r="O76" s="3917">
        <f t="shared" ref="O76" si="0">IF(AND(O62+O67&gt;0,$J$73&gt;=$Y$74),$Y$75, IF(AND(O62+O67=0,$J$73&gt;=$Y$74),$Y$76, IF(AND(O62+O67&gt;0,$J$73&gt;=$W$74),$W$75,IF(AND(O62+O67=0,$J$73&gt;=$W$74),$W$76, IF(AND(O62+O67&gt;0,$J$73&gt;=$U$74),$U$75,IF(AND(O62+O67=0,$J$73&gt;=$U$74),$U$76,0))))))</f>
        <v>0</v>
      </c>
      <c r="P76" s="3916"/>
      <c r="R76" s="2202" t="s">
        <v>4859</v>
      </c>
      <c r="U76" s="3913">
        <v>1</v>
      </c>
      <c r="V76" s="3914"/>
      <c r="W76" s="3913">
        <v>2</v>
      </c>
      <c r="X76" s="3914"/>
      <c r="Y76" s="3913">
        <v>3</v>
      </c>
      <c r="Z76" s="3914"/>
      <c r="AM76" s="2495">
        <v>76</v>
      </c>
    </row>
    <row r="77" spans="1:39" ht="15.95" customHeight="1" thickBot="1">
      <c r="AM77" s="2494">
        <v>77</v>
      </c>
    </row>
    <row r="78" spans="1:39" ht="15.95" customHeight="1" thickBot="1">
      <c r="A78" s="2112" t="s">
        <v>1838</v>
      </c>
      <c r="B78" s="2120" t="s">
        <v>4860</v>
      </c>
      <c r="D78" s="2109"/>
      <c r="F78" s="2210" t="s">
        <v>4864</v>
      </c>
      <c r="K78" s="2109"/>
      <c r="L78" s="2211" t="s">
        <v>4863</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4861</v>
      </c>
      <c r="F79" s="2213" t="s">
        <v>4862</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3074</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4960</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4705</v>
      </c>
      <c r="D82" s="2109"/>
      <c r="E82" s="2109"/>
      <c r="F82" s="2109"/>
      <c r="G82" s="2109"/>
      <c r="H82" s="2109"/>
      <c r="I82" s="2109"/>
      <c r="J82" s="2109"/>
      <c r="K82" s="2109"/>
      <c r="M82" s="2109"/>
      <c r="N82" s="2219"/>
      <c r="O82" s="2003"/>
      <c r="P82" s="2156"/>
      <c r="V82" s="2140"/>
      <c r="AM82" s="2495">
        <v>82</v>
      </c>
    </row>
    <row r="83" spans="1:39" ht="15.95" customHeight="1">
      <c r="A83" s="2109"/>
      <c r="B83" s="2131" t="s">
        <v>4843</v>
      </c>
      <c r="C83" s="2109"/>
      <c r="D83" s="2109"/>
      <c r="E83" s="2109"/>
      <c r="F83" s="2109"/>
      <c r="G83" s="2109"/>
      <c r="H83" s="2109"/>
      <c r="I83" s="2109"/>
      <c r="J83" s="2109"/>
      <c r="K83" s="2109"/>
      <c r="M83" s="2111"/>
      <c r="O83" s="2122"/>
      <c r="AM83" s="2494">
        <v>83</v>
      </c>
    </row>
    <row r="84" spans="1:39" ht="15.95" customHeight="1">
      <c r="A84" s="3776" t="s">
        <v>5223</v>
      </c>
      <c r="B84" s="3777"/>
      <c r="C84" s="3777"/>
      <c r="D84" s="3777"/>
      <c r="E84" s="3777"/>
      <c r="F84" s="3777"/>
      <c r="G84" s="3777"/>
      <c r="H84" s="3777"/>
      <c r="I84" s="3777"/>
      <c r="J84" s="3777"/>
      <c r="K84" s="3777"/>
      <c r="L84" s="3777"/>
      <c r="M84" s="3777"/>
      <c r="N84" s="3777"/>
      <c r="O84" s="3777"/>
      <c r="P84" s="3778"/>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756"/>
      <c r="B86" s="3757"/>
      <c r="C86" s="3757"/>
      <c r="D86" s="3757"/>
      <c r="E86" s="3757"/>
      <c r="F86" s="3757"/>
      <c r="G86" s="3757"/>
      <c r="H86" s="3757"/>
      <c r="I86" s="3757"/>
      <c r="J86" s="3757"/>
      <c r="K86" s="3757"/>
      <c r="L86" s="3757"/>
      <c r="M86" s="3757"/>
      <c r="N86" s="3757"/>
      <c r="O86" s="3757"/>
      <c r="P86" s="375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3906</v>
      </c>
      <c r="D89" s="2133"/>
      <c r="E89" s="2133"/>
      <c r="K89" s="2146"/>
      <c r="L89" s="2142" t="s">
        <v>4892</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3094</v>
      </c>
      <c r="D91" s="2133"/>
      <c r="E91" s="2133"/>
      <c r="L91" s="2146"/>
      <c r="M91" s="2112"/>
      <c r="N91" s="2111"/>
      <c r="O91" s="2224">
        <v>10</v>
      </c>
      <c r="P91" s="2224">
        <v>10</v>
      </c>
      <c r="Q91" s="2144"/>
      <c r="AM91" s="2495">
        <v>91</v>
      </c>
    </row>
    <row r="92" spans="1:39" s="2109" customFormat="1" ht="15.95" customHeight="1">
      <c r="A92" s="2112" t="s">
        <v>1836</v>
      </c>
      <c r="B92" s="2120" t="s">
        <v>4742</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4937</v>
      </c>
      <c r="D93" s="2133"/>
      <c r="E93" s="2133"/>
      <c r="L93" s="2146"/>
      <c r="M93" s="2226"/>
      <c r="N93" s="2111"/>
      <c r="O93" s="2025"/>
      <c r="P93" s="2227"/>
      <c r="Q93" s="2144"/>
      <c r="AM93" s="2494">
        <v>93</v>
      </c>
    </row>
    <row r="94" spans="1:39" s="2109" customFormat="1" ht="15.95" customHeight="1">
      <c r="A94" s="2112"/>
      <c r="B94" s="2154" t="s">
        <v>1841</v>
      </c>
      <c r="C94" s="2109" t="s">
        <v>4938</v>
      </c>
      <c r="D94" s="2133"/>
      <c r="E94" s="2133"/>
      <c r="L94" s="2146"/>
      <c r="M94" s="2226"/>
      <c r="N94" s="2111"/>
      <c r="O94" s="2104"/>
      <c r="P94" s="2228"/>
      <c r="Q94" s="2144"/>
      <c r="AM94" s="2495">
        <v>94</v>
      </c>
    </row>
    <row r="95" spans="1:39" s="2109" customFormat="1" ht="15.95" customHeight="1">
      <c r="A95" s="2112" t="s">
        <v>1838</v>
      </c>
      <c r="B95" s="2120" t="s">
        <v>4743</v>
      </c>
      <c r="D95" s="2133"/>
      <c r="E95" s="2133"/>
      <c r="L95" s="2146"/>
      <c r="M95" s="2112"/>
      <c r="N95" s="2111"/>
      <c r="O95" s="2026"/>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756"/>
      <c r="B97" s="3757"/>
      <c r="C97" s="3757"/>
      <c r="D97" s="3757"/>
      <c r="E97" s="3757"/>
      <c r="F97" s="3757"/>
      <c r="G97" s="3757"/>
      <c r="H97" s="3757"/>
      <c r="I97" s="3757"/>
      <c r="J97" s="3757"/>
      <c r="K97" s="3757"/>
      <c r="L97" s="3757"/>
      <c r="M97" s="3757"/>
      <c r="N97" s="3757"/>
      <c r="O97" s="3757"/>
      <c r="P97" s="375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4499</v>
      </c>
      <c r="C100" s="2161"/>
      <c r="D100" s="2161"/>
      <c r="E100" s="2161"/>
      <c r="F100" s="2161"/>
      <c r="G100" s="2230" t="s">
        <v>4869</v>
      </c>
      <c r="H100" s="2161"/>
      <c r="K100" s="2161"/>
      <c r="L100" s="2142" t="s">
        <v>4892</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4866</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906" t="s">
        <v>5021</v>
      </c>
      <c r="C102" s="3906"/>
      <c r="D102" s="3906"/>
      <c r="E102" s="3906"/>
      <c r="F102" s="3906"/>
      <c r="G102" s="3906"/>
      <c r="H102" s="3906"/>
      <c r="I102" s="3906"/>
      <c r="J102" s="3906"/>
      <c r="K102" s="3906"/>
      <c r="L102" s="3906"/>
      <c r="M102" s="2111"/>
      <c r="N102" s="2111"/>
      <c r="O102" s="2111"/>
      <c r="P102" s="2111"/>
      <c r="Q102" s="2149"/>
      <c r="R102" s="2150"/>
      <c r="AM102" s="2495">
        <v>102</v>
      </c>
    </row>
    <row r="103" spans="1:39" s="2164" customFormat="1" ht="15.95" customHeight="1">
      <c r="A103" s="2112"/>
      <c r="B103" s="2151" t="s">
        <v>1839</v>
      </c>
      <c r="C103" s="2109" t="s">
        <v>4867</v>
      </c>
      <c r="D103" s="2127"/>
      <c r="E103" s="2127"/>
      <c r="F103" s="2127"/>
      <c r="G103" s="2109"/>
      <c r="H103" s="2127"/>
      <c r="I103" s="2127"/>
      <c r="J103" s="3908" t="s">
        <v>4678</v>
      </c>
      <c r="K103" s="3909"/>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4868</v>
      </c>
      <c r="D104" s="2127"/>
      <c r="E104" s="2127"/>
      <c r="F104" s="2127"/>
      <c r="G104" s="2109"/>
      <c r="H104" s="2127"/>
      <c r="J104" s="2499" t="s">
        <v>4679</v>
      </c>
      <c r="K104" s="2500" t="s">
        <v>5039</v>
      </c>
      <c r="L104" s="2497"/>
      <c r="M104" s="2214">
        <v>3</v>
      </c>
      <c r="N104" s="2233"/>
      <c r="O104" s="2013"/>
      <c r="P104" s="2238"/>
      <c r="Q104" s="2149" t="str">
        <f>IF(OR($O104=$M104,$O104=0,$O104=""),"","*CHECK!*")</f>
        <v/>
      </c>
      <c r="R104" s="2150"/>
      <c r="AM104" s="2495">
        <v>104</v>
      </c>
    </row>
    <row r="105" spans="1:39">
      <c r="B105" s="2108" t="s">
        <v>5020</v>
      </c>
      <c r="H105" s="2142"/>
      <c r="J105" s="2498">
        <f>'Part V-Revenues &amp; Expenses'!P67*'Part VIII Scoring Criteria'!K105</f>
        <v>5</v>
      </c>
      <c r="K105" s="2454">
        <v>0.1</v>
      </c>
      <c r="M105" s="2142" t="s">
        <v>5038</v>
      </c>
      <c r="O105" s="2001">
        <v>5</v>
      </c>
      <c r="P105" s="2241"/>
      <c r="T105" s="2140"/>
      <c r="U105" s="2140"/>
      <c r="AM105" s="2494">
        <v>105</v>
      </c>
    </row>
    <row r="106" spans="1:39" ht="41.45" customHeight="1">
      <c r="B106" s="3907" t="s">
        <v>5019</v>
      </c>
      <c r="C106" s="3907"/>
      <c r="D106" s="3907"/>
      <c r="E106" s="3907"/>
      <c r="F106" s="3907"/>
      <c r="G106" s="3907"/>
      <c r="H106" s="3907"/>
      <c r="I106" s="3907"/>
      <c r="J106" s="3907"/>
      <c r="K106" s="3907"/>
      <c r="L106" s="3907"/>
      <c r="O106" s="2016" t="s">
        <v>2642</v>
      </c>
      <c r="P106" s="2162"/>
      <c r="T106" s="2140"/>
      <c r="U106" s="2140"/>
      <c r="AM106" s="2494">
        <v>106</v>
      </c>
    </row>
    <row r="107" spans="1:39" ht="15.95" customHeight="1">
      <c r="A107" s="2112" t="s">
        <v>1838</v>
      </c>
      <c r="B107" s="2120" t="s">
        <v>4135</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4865</v>
      </c>
      <c r="G108" s="2234" t="s">
        <v>4870</v>
      </c>
      <c r="M108" s="2111">
        <v>2</v>
      </c>
      <c r="N108" s="2231"/>
      <c r="O108" s="2157">
        <f>O109-O110</f>
        <v>2</v>
      </c>
      <c r="P108" s="2157">
        <f>P109-P110</f>
        <v>2</v>
      </c>
      <c r="Q108" s="2149" t="str">
        <f>IF(OR($O108=$M108,$O108=0,$O108=""),"","*CHECK!*")</f>
        <v/>
      </c>
      <c r="AM108" s="2494">
        <v>108</v>
      </c>
    </row>
    <row r="109" spans="1:39" s="2109" customFormat="1" ht="15.95" customHeight="1">
      <c r="A109" s="2223"/>
      <c r="C109" s="2120" t="s">
        <v>3094</v>
      </c>
      <c r="D109" s="2133"/>
      <c r="E109" s="2133"/>
      <c r="L109" s="2146"/>
      <c r="M109" s="2112"/>
      <c r="N109" s="2111"/>
      <c r="O109" s="2235">
        <v>2</v>
      </c>
      <c r="P109" s="2235">
        <v>2</v>
      </c>
      <c r="Q109" s="2144"/>
      <c r="AM109" s="2494">
        <v>109</v>
      </c>
    </row>
    <row r="110" spans="1:39" s="2109" customFormat="1" ht="15.95" customHeight="1">
      <c r="A110" s="2223"/>
      <c r="C110" s="2120" t="s">
        <v>3095</v>
      </c>
      <c r="D110" s="2133"/>
      <c r="E110" s="2133"/>
      <c r="L110" s="2146"/>
      <c r="M110" s="2112"/>
      <c r="N110" s="2111"/>
      <c r="O110" s="2026"/>
      <c r="P110" s="2229"/>
      <c r="Q110" s="2144"/>
      <c r="R110" s="2150"/>
      <c r="AM110" s="2494">
        <v>110</v>
      </c>
    </row>
    <row r="111" spans="1:39" ht="15.95" customHeight="1">
      <c r="A111" s="2109"/>
      <c r="B111" s="2131" t="s">
        <v>4843</v>
      </c>
      <c r="C111" s="2109"/>
      <c r="D111" s="2109"/>
      <c r="E111" s="2109"/>
      <c r="F111" s="2109"/>
      <c r="G111" s="2109"/>
      <c r="H111" s="2109"/>
      <c r="I111" s="2109"/>
      <c r="J111" s="2109"/>
      <c r="K111" s="2109"/>
      <c r="M111" s="2111"/>
      <c r="O111" s="2122"/>
      <c r="AM111" s="2494">
        <v>111</v>
      </c>
    </row>
    <row r="112" spans="1:39" ht="30.75" customHeight="1">
      <c r="A112" s="3776" t="s">
        <v>5224</v>
      </c>
      <c r="B112" s="3777"/>
      <c r="C112" s="3777"/>
      <c r="D112" s="3777"/>
      <c r="E112" s="3777"/>
      <c r="F112" s="3777"/>
      <c r="G112" s="3777"/>
      <c r="H112" s="3777"/>
      <c r="I112" s="3777"/>
      <c r="J112" s="3777"/>
      <c r="K112" s="3777"/>
      <c r="L112" s="3777"/>
      <c r="M112" s="3777"/>
      <c r="N112" s="3777"/>
      <c r="O112" s="3777"/>
      <c r="P112" s="3778"/>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756"/>
      <c r="B114" s="3757"/>
      <c r="C114" s="3757"/>
      <c r="D114" s="3757"/>
      <c r="E114" s="3757"/>
      <c r="F114" s="3757"/>
      <c r="G114" s="3757"/>
      <c r="H114" s="3757"/>
      <c r="I114" s="3757"/>
      <c r="J114" s="3757"/>
      <c r="K114" s="3757"/>
      <c r="L114" s="3757"/>
      <c r="M114" s="3757"/>
      <c r="N114" s="3757"/>
      <c r="O114" s="3757"/>
      <c r="P114" s="375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4844</v>
      </c>
      <c r="D117" s="2133"/>
      <c r="E117" s="2133"/>
      <c r="L117" s="2142" t="s">
        <v>4892</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4887</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4964</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4968</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4962</v>
      </c>
      <c r="F121" s="2112"/>
      <c r="I121" s="2112"/>
      <c r="J121" s="2111" t="s">
        <v>4963</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4965</v>
      </c>
      <c r="F122" s="2112"/>
      <c r="I122" s="2112"/>
      <c r="J122" s="2097" t="s">
        <v>5128</v>
      </c>
      <c r="M122" s="2214"/>
      <c r="N122" s="2147"/>
      <c r="O122" s="2397" t="str">
        <f>IF($J122="Submitted", "Yes","")</f>
        <v>Yes</v>
      </c>
      <c r="P122" s="2153"/>
      <c r="Q122" s="2147"/>
      <c r="V122" s="2140"/>
      <c r="AM122" s="2494">
        <v>122</v>
      </c>
    </row>
    <row r="123" spans="1:39" s="2109" customFormat="1" ht="15.95" customHeight="1">
      <c r="A123" s="2112"/>
      <c r="B123" s="2152"/>
      <c r="C123" s="2120"/>
      <c r="D123" s="2141" t="s">
        <v>4966</v>
      </c>
      <c r="F123" s="2112"/>
      <c r="I123" s="2112"/>
      <c r="J123" s="2016" t="s">
        <v>5128</v>
      </c>
      <c r="K123" s="2147"/>
      <c r="M123" s="2214"/>
      <c r="N123" s="2147"/>
      <c r="O123" s="2398" t="str">
        <f>IF($J123="Submitted", "Yes","")</f>
        <v>Yes</v>
      </c>
      <c r="P123" s="2162"/>
      <c r="Q123" s="2147"/>
      <c r="V123" s="2140"/>
      <c r="AM123" s="2494">
        <v>123</v>
      </c>
    </row>
    <row r="124" spans="1:39" s="2109" customFormat="1" ht="15.95" customHeight="1">
      <c r="A124" s="2112"/>
      <c r="B124" s="2152"/>
      <c r="C124" s="2141" t="s">
        <v>4889</v>
      </c>
      <c r="D124" s="2120"/>
      <c r="F124" s="2112"/>
      <c r="I124" s="2112"/>
      <c r="J124" s="2018" t="s">
        <v>5128</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4890</v>
      </c>
      <c r="D125" s="2120"/>
      <c r="F125" s="2112"/>
      <c r="I125" s="2112"/>
      <c r="J125" s="2018" t="s">
        <v>5128</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4967</v>
      </c>
      <c r="D126" s="2120"/>
      <c r="F126" s="2112"/>
      <c r="I126" s="2112"/>
      <c r="J126" s="2018" t="s">
        <v>5128</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5009</v>
      </c>
      <c r="D127" s="2120"/>
      <c r="F127" s="2112"/>
      <c r="V127" s="2140"/>
      <c r="AM127" s="2494">
        <v>127</v>
      </c>
    </row>
    <row r="128" spans="1:39" s="2109" customFormat="1" ht="15.95" customHeight="1">
      <c r="A128" s="2112"/>
      <c r="B128" s="2154"/>
      <c r="C128" s="2141" t="s">
        <v>5010</v>
      </c>
      <c r="F128" s="2111"/>
      <c r="I128" s="2111"/>
      <c r="J128" s="2018" t="s">
        <v>5128</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4969</v>
      </c>
      <c r="D129" s="2164"/>
      <c r="E129" s="2164"/>
      <c r="F129" s="2164"/>
      <c r="G129" s="2164"/>
      <c r="H129" s="2164"/>
      <c r="I129" s="2164"/>
      <c r="J129" s="2018" t="s">
        <v>5128</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4970</v>
      </c>
      <c r="F130" s="2112"/>
      <c r="I130" s="2112"/>
      <c r="J130" s="2018" t="s">
        <v>5128</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4891</v>
      </c>
      <c r="F131" s="2112"/>
      <c r="I131" s="2112"/>
      <c r="J131" s="2018" t="s">
        <v>5128</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4971</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4888</v>
      </c>
      <c r="H133" s="2147"/>
      <c r="I133" s="2106"/>
      <c r="J133" s="2106"/>
      <c r="K133" s="2106"/>
      <c r="L133" s="2106"/>
      <c r="M133" s="2111"/>
      <c r="N133" s="2111"/>
      <c r="O133" s="2111"/>
      <c r="P133" s="2111"/>
      <c r="Q133" s="2111"/>
      <c r="R133" s="2150"/>
      <c r="AM133" s="2495">
        <v>133</v>
      </c>
    </row>
    <row r="134" spans="1:39" ht="282.75" customHeight="1">
      <c r="B134" s="3903" t="s">
        <v>5170</v>
      </c>
      <c r="C134" s="3904"/>
      <c r="D134" s="3904"/>
      <c r="E134" s="3904"/>
      <c r="F134" s="3904"/>
      <c r="G134" s="3904"/>
      <c r="H134" s="3904"/>
      <c r="I134" s="3904"/>
      <c r="J134" s="3904"/>
      <c r="K134" s="3904"/>
      <c r="L134" s="3904"/>
      <c r="M134" s="3904"/>
      <c r="N134" s="3904"/>
      <c r="O134" s="3904"/>
      <c r="P134" s="3905"/>
      <c r="Q134" s="2192"/>
      <c r="R134" s="2192"/>
      <c r="AM134" s="2495">
        <v>134</v>
      </c>
    </row>
    <row r="135" spans="1:39" ht="15.95" customHeight="1">
      <c r="A135" s="2109"/>
      <c r="B135" s="2131" t="s">
        <v>4843</v>
      </c>
      <c r="C135" s="2109"/>
      <c r="D135" s="2109"/>
      <c r="E135" s="2109"/>
      <c r="F135" s="2109"/>
      <c r="G135" s="2109"/>
      <c r="H135" s="2109"/>
      <c r="I135" s="2109"/>
      <c r="J135" s="2109"/>
      <c r="K135" s="2109"/>
      <c r="M135" s="2111"/>
      <c r="O135" s="2122"/>
      <c r="AM135" s="2495">
        <v>135</v>
      </c>
    </row>
    <row r="136" spans="1:39" ht="15.95" customHeight="1">
      <c r="A136" s="3776" t="s">
        <v>5204</v>
      </c>
      <c r="B136" s="3777"/>
      <c r="C136" s="3777"/>
      <c r="D136" s="3777"/>
      <c r="E136" s="3777"/>
      <c r="F136" s="3777"/>
      <c r="G136" s="3777"/>
      <c r="H136" s="3777"/>
      <c r="I136" s="3777"/>
      <c r="J136" s="3777"/>
      <c r="K136" s="3777"/>
      <c r="L136" s="3777"/>
      <c r="M136" s="3777"/>
      <c r="N136" s="3777"/>
      <c r="O136" s="3777"/>
      <c r="P136" s="3778"/>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756"/>
      <c r="B138" s="3757"/>
      <c r="C138" s="3757"/>
      <c r="D138" s="3757"/>
      <c r="E138" s="3757"/>
      <c r="F138" s="3757"/>
      <c r="G138" s="3757"/>
      <c r="H138" s="3757"/>
      <c r="I138" s="3757"/>
      <c r="J138" s="3757"/>
      <c r="K138" s="3757"/>
      <c r="L138" s="3757"/>
      <c r="M138" s="3757"/>
      <c r="N138" s="3757"/>
      <c r="O138" s="3757"/>
      <c r="P138" s="375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3065</v>
      </c>
      <c r="G141" s="2120"/>
      <c r="I141" s="2120"/>
      <c r="J141" s="2179"/>
      <c r="K141" s="2244" t="s">
        <v>4939</v>
      </c>
      <c r="L141" s="2142" t="s">
        <v>4892</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3693</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4707</v>
      </c>
      <c r="C143" s="2127"/>
      <c r="D143" s="2127"/>
      <c r="E143" s="2127"/>
      <c r="F143" s="2127"/>
      <c r="G143" s="2248"/>
      <c r="H143" s="2108" t="s">
        <v>4540</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3688</v>
      </c>
      <c r="H144" s="2109" t="s">
        <v>3689</v>
      </c>
      <c r="I144" s="2251"/>
      <c r="K144" s="2252">
        <f>'Part V-Revenues &amp; Expenses'!$B$50</f>
        <v>57.8</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5.95" customHeight="1">
      <c r="A145" s="2179"/>
      <c r="B145" s="2154" t="s">
        <v>1841</v>
      </c>
      <c r="C145" s="2000" t="s">
        <v>3690</v>
      </c>
      <c r="I145" s="2251"/>
      <c r="K145" s="2134"/>
      <c r="L145" s="2146" t="str">
        <f t="shared" si="2"/>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4710</v>
      </c>
      <c r="H147" s="2255" t="s">
        <v>4692</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756"/>
      <c r="B149" s="3757"/>
      <c r="C149" s="3757"/>
      <c r="D149" s="3757"/>
      <c r="E149" s="3757"/>
      <c r="F149" s="3757"/>
      <c r="G149" s="3757"/>
      <c r="H149" s="3757"/>
      <c r="I149" s="3757"/>
      <c r="J149" s="3757"/>
      <c r="K149" s="3757"/>
      <c r="L149" s="3757"/>
      <c r="M149" s="3757"/>
      <c r="N149" s="3757"/>
      <c r="O149" s="3757"/>
      <c r="P149" s="375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4845</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4972</v>
      </c>
      <c r="C153" s="2109"/>
      <c r="D153" s="2109"/>
      <c r="E153" s="2109"/>
      <c r="F153" s="2109"/>
      <c r="G153" s="2109"/>
      <c r="H153" s="2109"/>
      <c r="I153" s="2109"/>
      <c r="J153" s="2109"/>
      <c r="K153" s="2109"/>
      <c r="M153" s="2111"/>
      <c r="O153" s="2015" t="s">
        <v>2642</v>
      </c>
      <c r="P153" s="2297"/>
      <c r="AM153" s="2495">
        <v>153</v>
      </c>
    </row>
    <row r="154" spans="1:39" ht="15.95" customHeight="1">
      <c r="A154" s="2109"/>
      <c r="B154" s="2131" t="s">
        <v>4843</v>
      </c>
      <c r="C154" s="2109"/>
      <c r="D154" s="2109"/>
      <c r="E154" s="2109"/>
      <c r="F154" s="2109"/>
      <c r="G154" s="2109"/>
      <c r="H154" s="2109"/>
      <c r="I154" s="2109"/>
      <c r="J154" s="2109"/>
      <c r="K154" s="2109"/>
      <c r="M154" s="2111"/>
      <c r="O154" s="2122"/>
      <c r="AM154" s="2495">
        <v>154</v>
      </c>
    </row>
    <row r="155" spans="1:39" ht="15.95" customHeight="1">
      <c r="A155" s="3776" t="s">
        <v>5198</v>
      </c>
      <c r="B155" s="3777"/>
      <c r="C155" s="3777"/>
      <c r="D155" s="3777"/>
      <c r="E155" s="3777"/>
      <c r="F155" s="3777"/>
      <c r="G155" s="3777"/>
      <c r="H155" s="3777"/>
      <c r="I155" s="3777"/>
      <c r="J155" s="3777"/>
      <c r="K155" s="3777"/>
      <c r="L155" s="3777"/>
      <c r="M155" s="3777"/>
      <c r="N155" s="3777"/>
      <c r="O155" s="3777"/>
      <c r="P155" s="3778"/>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756"/>
      <c r="B157" s="3757"/>
      <c r="C157" s="3757"/>
      <c r="D157" s="3757"/>
      <c r="E157" s="3757"/>
      <c r="F157" s="3757"/>
      <c r="G157" s="3757"/>
      <c r="H157" s="3757"/>
      <c r="I157" s="3757"/>
      <c r="J157" s="3757"/>
      <c r="K157" s="3757"/>
      <c r="L157" s="3757"/>
      <c r="M157" s="3757"/>
      <c r="N157" s="3757"/>
      <c r="O157" s="3757"/>
      <c r="P157" s="375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3280</v>
      </c>
      <c r="L160" s="2142" t="s">
        <v>4892</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3196</v>
      </c>
      <c r="H162" s="2147"/>
      <c r="I162" s="2106"/>
      <c r="J162" s="2106"/>
      <c r="K162" s="2226"/>
      <c r="L162" s="2106"/>
      <c r="M162" s="2111" t="s">
        <v>1163</v>
      </c>
      <c r="N162" s="2147"/>
      <c r="O162" s="2040">
        <v>0</v>
      </c>
      <c r="P162" s="2261"/>
      <c r="R162" s="2150"/>
      <c r="AM162" s="2494">
        <v>162</v>
      </c>
    </row>
    <row r="163" spans="1:39" ht="15.95" customHeight="1">
      <c r="A163" s="2109"/>
      <c r="B163" s="2131" t="s">
        <v>4843</v>
      </c>
      <c r="C163" s="2109"/>
      <c r="D163" s="2109"/>
      <c r="E163" s="2109"/>
      <c r="F163" s="2109"/>
      <c r="G163" s="2109"/>
      <c r="H163" s="2109"/>
      <c r="I163" s="2109"/>
      <c r="J163" s="2109"/>
      <c r="K163" s="2109"/>
      <c r="M163" s="2111"/>
      <c r="O163" s="2122"/>
      <c r="AM163" s="2494">
        <v>163</v>
      </c>
    </row>
    <row r="164" spans="1:39" ht="15.95" customHeight="1">
      <c r="A164" s="3776" t="s">
        <v>5225</v>
      </c>
      <c r="B164" s="3777"/>
      <c r="C164" s="3777"/>
      <c r="D164" s="3777"/>
      <c r="E164" s="3777"/>
      <c r="F164" s="3777"/>
      <c r="G164" s="3777"/>
      <c r="H164" s="3777"/>
      <c r="I164" s="3777"/>
      <c r="J164" s="3777"/>
      <c r="K164" s="3777"/>
      <c r="L164" s="3777"/>
      <c r="M164" s="3777"/>
      <c r="N164" s="3777"/>
      <c r="O164" s="3777"/>
      <c r="P164" s="3778"/>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756"/>
      <c r="B166" s="3757"/>
      <c r="C166" s="3757"/>
      <c r="D166" s="3757"/>
      <c r="E166" s="3757"/>
      <c r="F166" s="3757"/>
      <c r="G166" s="3757"/>
      <c r="H166" s="3757"/>
      <c r="I166" s="3757"/>
      <c r="J166" s="3757"/>
      <c r="K166" s="3757"/>
      <c r="L166" s="3757"/>
      <c r="M166" s="3757"/>
      <c r="N166" s="3757"/>
      <c r="O166" s="3757"/>
      <c r="P166" s="375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4892</v>
      </c>
      <c r="M169" s="2112">
        <v>6</v>
      </c>
      <c r="N169" s="2147"/>
      <c r="O169" s="2212">
        <f>IF($F$12="New Affordability",MAX(O177,O180),0)</f>
        <v>4.5</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3239</v>
      </c>
      <c r="F171" s="3896" t="s">
        <v>3132</v>
      </c>
      <c r="G171" s="3896"/>
      <c r="H171" s="3896"/>
      <c r="I171" s="3896"/>
      <c r="J171" s="3896" t="s">
        <v>3133</v>
      </c>
      <c r="K171" s="3896"/>
      <c r="L171" s="3896"/>
      <c r="M171" s="3896"/>
      <c r="N171" s="2147"/>
      <c r="O171" s="3897" t="s">
        <v>4693</v>
      </c>
      <c r="P171" s="3897"/>
      <c r="AM171" s="2495">
        <v>171</v>
      </c>
    </row>
    <row r="172" spans="1:39" ht="15.95" customHeight="1">
      <c r="B172" s="2264"/>
      <c r="C172" s="2265" t="s">
        <v>4694</v>
      </c>
      <c r="F172" s="3899">
        <v>33.752074999999998</v>
      </c>
      <c r="G172" s="3900"/>
      <c r="H172" s="3901"/>
      <c r="I172" s="3902"/>
      <c r="J172" s="3899">
        <v>-84.401304999999994</v>
      </c>
      <c r="K172" s="3900"/>
      <c r="L172" s="3901"/>
      <c r="M172" s="3902"/>
      <c r="N172" s="2108"/>
      <c r="O172" s="3898"/>
      <c r="P172" s="3898"/>
      <c r="AM172" s="2494">
        <v>172</v>
      </c>
    </row>
    <row r="173" spans="1:39" ht="15.95" customHeight="1">
      <c r="A173" s="2264"/>
      <c r="B173" s="2266"/>
      <c r="C173" s="2265" t="s">
        <v>4695</v>
      </c>
      <c r="F173" s="3891">
        <v>33.756433999999999</v>
      </c>
      <c r="G173" s="3892"/>
      <c r="H173" s="3893"/>
      <c r="I173" s="3894"/>
      <c r="J173" s="3891">
        <v>-84.403592000000003</v>
      </c>
      <c r="K173" s="3892"/>
      <c r="L173" s="3893"/>
      <c r="M173" s="3894"/>
      <c r="N173" s="2147"/>
      <c r="O173" s="2007">
        <v>0.4</v>
      </c>
      <c r="P173" s="2267"/>
      <c r="AM173" s="2495">
        <v>173</v>
      </c>
    </row>
    <row r="174" spans="1:39" ht="15.95" customHeight="1">
      <c r="A174" s="2266"/>
      <c r="B174" s="3895" t="s">
        <v>4716</v>
      </c>
      <c r="C174" s="3895"/>
      <c r="D174" s="3895"/>
      <c r="E174" s="3895"/>
      <c r="F174" s="2129" t="s">
        <v>4696</v>
      </c>
      <c r="G174" s="3809" t="s">
        <v>1667</v>
      </c>
      <c r="H174" s="3809"/>
      <c r="I174" s="3809"/>
      <c r="J174" s="3809" t="s">
        <v>4713</v>
      </c>
      <c r="K174" s="3809"/>
      <c r="L174" s="3809"/>
      <c r="M174" s="3809"/>
      <c r="N174" s="3809"/>
      <c r="O174" s="3809"/>
      <c r="P174" s="3809"/>
      <c r="AM174" s="2494">
        <v>174</v>
      </c>
    </row>
    <row r="175" spans="1:39" ht="15.95" customHeight="1">
      <c r="A175" s="2266"/>
      <c r="B175" s="3887" t="s">
        <v>5164</v>
      </c>
      <c r="C175" s="3887"/>
      <c r="D175" s="3887"/>
      <c r="E175" s="3887"/>
      <c r="F175" s="2041" t="s">
        <v>5201</v>
      </c>
      <c r="G175" s="3888" t="s">
        <v>5200</v>
      </c>
      <c r="H175" s="3888"/>
      <c r="I175" s="3888"/>
      <c r="J175" s="3888" t="s">
        <v>5199</v>
      </c>
      <c r="K175" s="3888"/>
      <c r="L175" s="3888"/>
      <c r="M175" s="3888"/>
      <c r="N175" s="3888"/>
      <c r="O175" s="3888"/>
      <c r="P175" s="3888"/>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3154</v>
      </c>
      <c r="F177" s="2268"/>
      <c r="L177" s="2211" t="s">
        <v>4863</v>
      </c>
      <c r="M177" s="2112">
        <v>6</v>
      </c>
      <c r="N177" s="2191"/>
      <c r="O177" s="2269">
        <f>IF(OR($J$12="Atlanta Metro",$J$12="Other Metro",$J$12="N/A-4%"),MIN($M177,O178+O179),0)</f>
        <v>4.5</v>
      </c>
      <c r="P177" s="2269">
        <f>IF(OR($L$12="Atlanta Metro",$L$12="Other Metro",$L$12="N/A-4%"),MIN($M177,P178+P179),0)</f>
        <v>0</v>
      </c>
      <c r="Q177" s="2144"/>
      <c r="S177" s="2270" t="s">
        <v>4160</v>
      </c>
      <c r="T177" s="2270" t="s">
        <v>4045</v>
      </c>
      <c r="AM177" s="2494">
        <v>177</v>
      </c>
    </row>
    <row r="178" spans="1:39" s="2164" customFormat="1" ht="29.45" customHeight="1">
      <c r="A178" s="2165"/>
      <c r="B178" s="2154" t="s">
        <v>1839</v>
      </c>
      <c r="C178" s="3889" t="s">
        <v>4708</v>
      </c>
      <c r="D178" s="3889"/>
      <c r="E178" s="3889"/>
      <c r="F178" s="3889"/>
      <c r="G178" s="3889"/>
      <c r="H178" s="3889"/>
      <c r="I178" s="3889"/>
      <c r="J178" s="3889"/>
      <c r="K178" s="3889"/>
      <c r="L178" s="2146" t="str">
        <f t="shared" ref="L178" si="4">IF(OR($O178=$M178,$O178=0,$O178=""),"","* * Check Score! * *")</f>
        <v/>
      </c>
      <c r="M178" s="2165">
        <v>6</v>
      </c>
      <c r="N178" s="2217"/>
      <c r="O178" s="2008"/>
      <c r="P178" s="2271"/>
      <c r="R178" s="3890" t="s">
        <v>4562</v>
      </c>
      <c r="S178" s="2272">
        <v>0.25</v>
      </c>
      <c r="T178" s="2272">
        <v>5</v>
      </c>
      <c r="AM178" s="2494">
        <v>178</v>
      </c>
    </row>
    <row r="179" spans="1:39" s="2164" customFormat="1" ht="15.95" customHeight="1">
      <c r="A179" s="2179" t="s">
        <v>1273</v>
      </c>
      <c r="B179" s="2154" t="s">
        <v>1841</v>
      </c>
      <c r="C179" s="2109" t="s">
        <v>4709</v>
      </c>
      <c r="D179" s="2109"/>
      <c r="E179" s="2109"/>
      <c r="F179" s="2109"/>
      <c r="G179" s="2109"/>
      <c r="H179" s="2109"/>
      <c r="I179" s="2109"/>
      <c r="J179" s="2126"/>
      <c r="K179" s="2126"/>
      <c r="L179" s="2146"/>
      <c r="M179" s="2111">
        <v>5</v>
      </c>
      <c r="N179" s="2219"/>
      <c r="O179" s="2005">
        <v>4.5</v>
      </c>
      <c r="P179" s="2273"/>
      <c r="R179" s="3890"/>
      <c r="S179" s="2272">
        <v>0.5</v>
      </c>
      <c r="T179" s="2272">
        <v>4.5</v>
      </c>
      <c r="AM179" s="2494">
        <v>179</v>
      </c>
    </row>
    <row r="180" spans="1:39" s="2164" customFormat="1" ht="15.95" customHeight="1">
      <c r="A180" s="2259" t="s">
        <v>1838</v>
      </c>
      <c r="B180" s="2274" t="s">
        <v>3155</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90"/>
      <c r="S180" s="2277">
        <v>1</v>
      </c>
      <c r="T180" s="2277">
        <v>4</v>
      </c>
      <c r="AM180" s="2495">
        <v>180</v>
      </c>
    </row>
    <row r="181" spans="1:39" ht="15.95" customHeight="1">
      <c r="A181" s="2132"/>
      <c r="B181" s="2278" t="s">
        <v>1839</v>
      </c>
      <c r="C181" s="2109" t="s">
        <v>4697</v>
      </c>
      <c r="D181" s="2127"/>
      <c r="E181" s="2127"/>
      <c r="F181" s="2127"/>
      <c r="G181" s="2127"/>
      <c r="H181" s="2127"/>
      <c r="I181" s="2127"/>
      <c r="J181" s="2127"/>
      <c r="K181" s="2127"/>
      <c r="L181" s="2146" t="str">
        <f t="shared" ref="L181:L183" si="5">IF(OR($O181=$M181,$O181=0,$O181=""),"","* * Check Score! * *")</f>
        <v/>
      </c>
      <c r="M181" s="2111">
        <v>3</v>
      </c>
      <c r="N181" s="2219"/>
      <c r="O181" s="2009"/>
      <c r="P181" s="2279"/>
      <c r="R181" s="3890" t="s">
        <v>4563</v>
      </c>
      <c r="S181" s="2280">
        <v>0.25</v>
      </c>
      <c r="T181" s="2280">
        <v>3</v>
      </c>
      <c r="U181" s="2164"/>
      <c r="AM181" s="2495">
        <v>181</v>
      </c>
    </row>
    <row r="182" spans="1:39" ht="15.95" customHeight="1">
      <c r="A182" s="2179" t="s">
        <v>1273</v>
      </c>
      <c r="B182" s="2278" t="s">
        <v>1841</v>
      </c>
      <c r="C182" s="2109" t="s">
        <v>4715</v>
      </c>
      <c r="D182" s="2127"/>
      <c r="E182" s="2127"/>
      <c r="F182" s="2127"/>
      <c r="G182" s="2127"/>
      <c r="H182" s="2127"/>
      <c r="I182" s="2127"/>
      <c r="J182" s="2266"/>
      <c r="K182" s="2266"/>
      <c r="L182" s="2146" t="str">
        <f t="shared" si="5"/>
        <v/>
      </c>
      <c r="M182" s="2111">
        <v>1</v>
      </c>
      <c r="N182" s="2219"/>
      <c r="O182" s="2010"/>
      <c r="P182" s="2281"/>
      <c r="R182" s="3890"/>
      <c r="S182" s="2272">
        <v>0.5</v>
      </c>
      <c r="T182" s="2272">
        <v>2</v>
      </c>
      <c r="U182" s="2164"/>
      <c r="AM182" s="2495">
        <v>182</v>
      </c>
    </row>
    <row r="183" spans="1:39" s="2164" customFormat="1" ht="29.25" customHeight="1">
      <c r="A183" s="2282" t="s">
        <v>1273</v>
      </c>
      <c r="B183" s="2278" t="s">
        <v>2326</v>
      </c>
      <c r="C183" s="3889" t="s">
        <v>4714</v>
      </c>
      <c r="D183" s="3889"/>
      <c r="E183" s="3889"/>
      <c r="F183" s="3889"/>
      <c r="G183" s="3889"/>
      <c r="H183" s="3889"/>
      <c r="I183" s="3889"/>
      <c r="J183" s="3889"/>
      <c r="K183" s="3889"/>
      <c r="L183" s="2146" t="str">
        <f t="shared" si="5"/>
        <v/>
      </c>
      <c r="M183" s="2165">
        <v>2</v>
      </c>
      <c r="N183" s="2217"/>
      <c r="O183" s="2042"/>
      <c r="P183" s="2283"/>
      <c r="R183" s="3890"/>
      <c r="S183" s="2277">
        <v>1</v>
      </c>
      <c r="T183" s="2277">
        <v>1</v>
      </c>
      <c r="AM183" s="2494">
        <v>183</v>
      </c>
    </row>
    <row r="184" spans="1:39" ht="15.95" customHeight="1">
      <c r="A184" s="2109"/>
      <c r="B184" s="2131" t="s">
        <v>4843</v>
      </c>
      <c r="C184" s="2109"/>
      <c r="D184" s="2109"/>
      <c r="E184" s="2109"/>
      <c r="F184" s="2109"/>
      <c r="G184" s="2109"/>
      <c r="H184" s="2109"/>
      <c r="I184" s="2109"/>
      <c r="J184" s="2109"/>
      <c r="K184" s="2109"/>
      <c r="M184" s="2111"/>
      <c r="O184" s="2122"/>
      <c r="AM184" s="2494">
        <v>184</v>
      </c>
    </row>
    <row r="185" spans="1:39" ht="15.95" customHeight="1">
      <c r="A185" s="3776" t="s">
        <v>5205</v>
      </c>
      <c r="B185" s="3777"/>
      <c r="C185" s="3777"/>
      <c r="D185" s="3777"/>
      <c r="E185" s="3777"/>
      <c r="F185" s="3777"/>
      <c r="G185" s="3777"/>
      <c r="H185" s="3777"/>
      <c r="I185" s="3777"/>
      <c r="J185" s="3777"/>
      <c r="K185" s="3777"/>
      <c r="L185" s="3777"/>
      <c r="M185" s="3777"/>
      <c r="N185" s="3777"/>
      <c r="O185" s="3777"/>
      <c r="P185" s="3778"/>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756"/>
      <c r="B187" s="3757"/>
      <c r="C187" s="3757"/>
      <c r="D187" s="3757"/>
      <c r="E187" s="3757"/>
      <c r="F187" s="3757"/>
      <c r="G187" s="3757"/>
      <c r="H187" s="3757"/>
      <c r="I187" s="3757"/>
      <c r="J187" s="3757"/>
      <c r="K187" s="3757"/>
      <c r="L187" s="3757"/>
      <c r="M187" s="3757"/>
      <c r="N187" s="3757"/>
      <c r="O187" s="3757"/>
      <c r="P187" s="3758"/>
      <c r="Q187" s="2175"/>
      <c r="AM187" s="2494">
        <v>187</v>
      </c>
    </row>
    <row r="188" spans="1:39" ht="9.75" customHeight="1">
      <c r="AM188" s="2495">
        <v>188</v>
      </c>
    </row>
    <row r="189" spans="1:39" ht="9.75" customHeight="1" thickBot="1">
      <c r="AM189" s="2495">
        <v>189</v>
      </c>
    </row>
    <row r="190" spans="1:39" ht="15.95" customHeight="1" thickBot="1">
      <c r="A190" s="2132" t="s">
        <v>1602</v>
      </c>
      <c r="B190" s="2133" t="s">
        <v>4049</v>
      </c>
      <c r="C190" s="2161"/>
      <c r="D190" s="2161"/>
      <c r="E190" s="2161"/>
      <c r="G190" s="2112"/>
      <c r="H190" s="2150"/>
      <c r="L190" s="2142" t="s">
        <v>4892</v>
      </c>
      <c r="M190" s="2112">
        <v>3</v>
      </c>
      <c r="N190" s="2173"/>
      <c r="O190" s="2046">
        <v>3</v>
      </c>
      <c r="P190" s="2284"/>
      <c r="Q190" s="2237" t="str">
        <f>IF(OR($O190&lt;=$M190,$O190=0,$O190=""),"","*CHECK!*")</f>
        <v/>
      </c>
      <c r="R190" s="2285" t="s">
        <v>415</v>
      </c>
      <c r="S190" s="2112" t="str">
        <f>$O$12</f>
        <v>9%</v>
      </c>
      <c r="AM190" s="2495">
        <v>190</v>
      </c>
    </row>
    <row r="191" spans="1:39" ht="23.25" customHeight="1">
      <c r="B191" s="2286"/>
      <c r="C191" s="2286"/>
      <c r="D191" s="2286"/>
      <c r="E191" s="2287"/>
      <c r="F191" s="3876" t="s">
        <v>4730</v>
      </c>
      <c r="G191" s="3876"/>
      <c r="H191" s="3876" t="s">
        <v>4731</v>
      </c>
      <c r="I191" s="3876"/>
      <c r="J191" s="3878" t="s">
        <v>4741</v>
      </c>
      <c r="K191" s="3879"/>
      <c r="L191" s="3884" t="s">
        <v>4717</v>
      </c>
      <c r="M191" s="3884"/>
      <c r="N191" s="3884"/>
      <c r="O191" s="3885"/>
      <c r="P191" s="2288"/>
      <c r="AM191" s="2495">
        <v>191</v>
      </c>
    </row>
    <row r="192" spans="1:39" ht="24.6" customHeight="1">
      <c r="B192" s="2286"/>
      <c r="C192" s="2286"/>
      <c r="D192" s="2286"/>
      <c r="E192" s="2287"/>
      <c r="F192" s="3876"/>
      <c r="G192" s="3876"/>
      <c r="H192" s="3876"/>
      <c r="I192" s="3876"/>
      <c r="J192" s="3880"/>
      <c r="K192" s="3881"/>
      <c r="L192" s="3876"/>
      <c r="M192" s="3876"/>
      <c r="N192" s="3876"/>
      <c r="O192" s="3885"/>
      <c r="P192" s="2288"/>
      <c r="AM192" s="2494">
        <v>192</v>
      </c>
    </row>
    <row r="193" spans="1:39" ht="15.95" customHeight="1">
      <c r="B193" s="2289" t="s">
        <v>4524</v>
      </c>
      <c r="C193" s="2290"/>
      <c r="D193" s="2287"/>
      <c r="E193" s="2287"/>
      <c r="F193" s="3877"/>
      <c r="G193" s="3877"/>
      <c r="H193" s="3877"/>
      <c r="I193" s="3877"/>
      <c r="J193" s="3882"/>
      <c r="K193" s="3883"/>
      <c r="L193" s="3877"/>
      <c r="M193" s="3877"/>
      <c r="N193" s="3877"/>
      <c r="O193" s="3886"/>
      <c r="P193" s="2288"/>
      <c r="AM193" s="2495">
        <v>193</v>
      </c>
    </row>
    <row r="194" spans="1:39" ht="15.95" customHeight="1">
      <c r="B194" s="3868" t="s">
        <v>5166</v>
      </c>
      <c r="C194" s="3869"/>
      <c r="D194" s="3869"/>
      <c r="E194" s="3870"/>
      <c r="F194" s="3871" t="s">
        <v>2645</v>
      </c>
      <c r="G194" s="3872"/>
      <c r="H194" s="3871" t="s">
        <v>2642</v>
      </c>
      <c r="I194" s="3872"/>
      <c r="J194" s="3873" t="s">
        <v>2642</v>
      </c>
      <c r="K194" s="3874"/>
      <c r="L194" s="3873" t="s">
        <v>2642</v>
      </c>
      <c r="M194" s="3875"/>
      <c r="N194" s="3875"/>
      <c r="O194" s="3874"/>
      <c r="P194" s="2153"/>
      <c r="AM194" s="2494">
        <v>194</v>
      </c>
    </row>
    <row r="195" spans="1:39" ht="15.95" customHeight="1">
      <c r="B195" s="3852" t="s">
        <v>5166</v>
      </c>
      <c r="C195" s="3853"/>
      <c r="D195" s="3853"/>
      <c r="E195" s="3854"/>
      <c r="F195" s="3855" t="s">
        <v>2645</v>
      </c>
      <c r="G195" s="3856"/>
      <c r="H195" s="3855" t="s">
        <v>2642</v>
      </c>
      <c r="I195" s="3856"/>
      <c r="J195" s="3857" t="s">
        <v>2642</v>
      </c>
      <c r="K195" s="3858"/>
      <c r="L195" s="3857" t="s">
        <v>2642</v>
      </c>
      <c r="M195" s="3859"/>
      <c r="N195" s="3859"/>
      <c r="O195" s="3858"/>
      <c r="P195" s="2155"/>
      <c r="AM195" s="2494">
        <v>195</v>
      </c>
    </row>
    <row r="196" spans="1:39" ht="15.95" customHeight="1">
      <c r="B196" s="3852" t="s">
        <v>5165</v>
      </c>
      <c r="C196" s="3853"/>
      <c r="D196" s="3853"/>
      <c r="E196" s="3854"/>
      <c r="F196" s="3855" t="s">
        <v>2642</v>
      </c>
      <c r="G196" s="3856"/>
      <c r="H196" s="3855" t="s">
        <v>2642</v>
      </c>
      <c r="I196" s="3856"/>
      <c r="J196" s="3857" t="s">
        <v>2642</v>
      </c>
      <c r="K196" s="3858"/>
      <c r="L196" s="3857" t="s">
        <v>2642</v>
      </c>
      <c r="M196" s="3859"/>
      <c r="N196" s="3859"/>
      <c r="O196" s="3858"/>
      <c r="P196" s="2155"/>
      <c r="AM196" s="2494">
        <v>196</v>
      </c>
    </row>
    <row r="197" spans="1:39" ht="15.95" customHeight="1">
      <c r="B197" s="3852"/>
      <c r="C197" s="3853"/>
      <c r="D197" s="3853"/>
      <c r="E197" s="3854"/>
      <c r="F197" s="3855"/>
      <c r="G197" s="3856"/>
      <c r="H197" s="3855"/>
      <c r="I197" s="3856"/>
      <c r="J197" s="3857"/>
      <c r="K197" s="3858"/>
      <c r="L197" s="3857"/>
      <c r="M197" s="3859"/>
      <c r="N197" s="3859"/>
      <c r="O197" s="3858"/>
      <c r="P197" s="2155"/>
      <c r="AM197" s="2494">
        <v>197</v>
      </c>
    </row>
    <row r="198" spans="1:39" ht="15.95" customHeight="1">
      <c r="B198" s="3852"/>
      <c r="C198" s="3853"/>
      <c r="D198" s="3853"/>
      <c r="E198" s="3854"/>
      <c r="F198" s="3855"/>
      <c r="G198" s="3856"/>
      <c r="H198" s="3855"/>
      <c r="I198" s="3856"/>
      <c r="J198" s="3857"/>
      <c r="K198" s="3858"/>
      <c r="L198" s="3857"/>
      <c r="M198" s="3859"/>
      <c r="N198" s="3859"/>
      <c r="O198" s="3858"/>
      <c r="P198" s="2155"/>
      <c r="AM198" s="2495">
        <v>198</v>
      </c>
    </row>
    <row r="199" spans="1:39" ht="15.95" customHeight="1">
      <c r="B199" s="3860"/>
      <c r="C199" s="3861"/>
      <c r="D199" s="3861"/>
      <c r="E199" s="3862"/>
      <c r="F199" s="3863"/>
      <c r="G199" s="3864"/>
      <c r="H199" s="3863"/>
      <c r="I199" s="3864"/>
      <c r="J199" s="3865"/>
      <c r="K199" s="3866"/>
      <c r="L199" s="3865"/>
      <c r="M199" s="3867"/>
      <c r="N199" s="3867"/>
      <c r="O199" s="3866"/>
      <c r="P199" s="2156"/>
      <c r="AM199" s="2495">
        <v>199</v>
      </c>
    </row>
    <row r="200" spans="1:39" ht="15.95" customHeight="1">
      <c r="A200" s="2109"/>
      <c r="B200" s="2131" t="s">
        <v>4843</v>
      </c>
      <c r="C200" s="2109"/>
      <c r="D200" s="2109"/>
      <c r="E200" s="2109"/>
      <c r="F200" s="2109"/>
      <c r="G200" s="2109"/>
      <c r="H200" s="2109"/>
      <c r="I200" s="2109"/>
      <c r="J200" s="2109"/>
      <c r="K200" s="2109"/>
      <c r="M200" s="2111"/>
      <c r="O200" s="2122"/>
      <c r="AM200" s="2495">
        <v>200</v>
      </c>
    </row>
    <row r="201" spans="1:39" ht="36" customHeight="1">
      <c r="A201" s="3776" t="s">
        <v>5206</v>
      </c>
      <c r="B201" s="3777"/>
      <c r="C201" s="3777"/>
      <c r="D201" s="3777"/>
      <c r="E201" s="3777"/>
      <c r="F201" s="3777"/>
      <c r="G201" s="3777"/>
      <c r="H201" s="3777"/>
      <c r="I201" s="3777"/>
      <c r="J201" s="3777"/>
      <c r="K201" s="3777"/>
      <c r="L201" s="3777"/>
      <c r="M201" s="3777"/>
      <c r="N201" s="3777"/>
      <c r="O201" s="3777"/>
      <c r="P201" s="3778"/>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756"/>
      <c r="B203" s="3757"/>
      <c r="C203" s="3757"/>
      <c r="D203" s="3757"/>
      <c r="E203" s="3757"/>
      <c r="F203" s="3757"/>
      <c r="G203" s="3757"/>
      <c r="H203" s="3757"/>
      <c r="I203" s="3757"/>
      <c r="J203" s="3757"/>
      <c r="K203" s="3757"/>
      <c r="L203" s="3757"/>
      <c r="M203" s="3757"/>
      <c r="N203" s="3757"/>
      <c r="O203" s="3757"/>
      <c r="P203" s="375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2489</v>
      </c>
      <c r="B206" s="2133" t="s">
        <v>3252</v>
      </c>
      <c r="D206" s="2133"/>
      <c r="E206" s="2133"/>
      <c r="K206" s="2453"/>
      <c r="L206" s="2142" t="s">
        <v>4892</v>
      </c>
      <c r="M206" s="2112">
        <v>10</v>
      </c>
      <c r="N206" s="2111"/>
      <c r="O206" s="2212">
        <f>IF(AND($F$12="New Affordability",$C$16="Revitalization/Redevelopment Plans"),MIN($M$206,O212+O222+O229),0)</f>
        <v>8</v>
      </c>
      <c r="P206" s="2212">
        <f>IF(AND($F$12="New Affordability",$C$16="Revitalization/Redevelopment Plans"),MIN($M$206,P212+P222+P229),0)</f>
        <v>0</v>
      </c>
      <c r="Q206" s="2144" t="s">
        <v>415</v>
      </c>
      <c r="R206" s="2444" t="s">
        <v>4995</v>
      </c>
      <c r="S206" s="2106"/>
      <c r="T206" s="2106"/>
      <c r="U206" s="2106"/>
      <c r="V206" s="2445" t="str">
        <f>$C$16</f>
        <v>Revitalization/Redevelopment Plans</v>
      </c>
      <c r="AM206" s="2494">
        <v>206</v>
      </c>
    </row>
    <row r="207" spans="1:39" s="2109" customFormat="1" ht="15.95" customHeight="1">
      <c r="A207" s="2132"/>
      <c r="B207" s="2133"/>
      <c r="D207" s="2133"/>
      <c r="E207" s="2133"/>
      <c r="F207" s="2141" t="s">
        <v>5036</v>
      </c>
      <c r="L207" s="2177"/>
      <c r="M207" s="2112"/>
      <c r="N207" s="2111"/>
      <c r="O207" s="2122">
        <f>MAX(O213+O214+O215+O216+O220+O221+O222+O224+O228+O229,O206)</f>
        <v>11</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4698</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4893</v>
      </c>
      <c r="D209" s="2164"/>
      <c r="E209" s="2164"/>
      <c r="F209" s="2164"/>
      <c r="G209" s="2164"/>
      <c r="H209" s="2164"/>
      <c r="I209" s="2164"/>
      <c r="J209" s="2164"/>
      <c r="K209" s="2164"/>
      <c r="L209" s="2166"/>
      <c r="N209" s="3843">
        <v>5</v>
      </c>
      <c r="O209" s="3844"/>
      <c r="P209" s="3845"/>
      <c r="S209" s="2106"/>
      <c r="T209" s="2106"/>
      <c r="U209" s="2106"/>
      <c r="AM209" s="2495">
        <v>209</v>
      </c>
    </row>
    <row r="210" spans="1:39" s="2109" customFormat="1" ht="15.95" customHeight="1">
      <c r="A210" s="2111"/>
      <c r="B210" s="2147"/>
      <c r="C210" s="2109" t="s">
        <v>4699</v>
      </c>
      <c r="L210" s="2147"/>
      <c r="N210" s="3846">
        <v>2</v>
      </c>
      <c r="O210" s="3847"/>
      <c r="P210" s="3848"/>
      <c r="S210" s="2106"/>
      <c r="T210" s="2106"/>
      <c r="U210" s="2106"/>
      <c r="AM210" s="2495">
        <v>210</v>
      </c>
    </row>
    <row r="211" spans="1:39" s="2109" customFormat="1" ht="26.25" customHeight="1">
      <c r="A211" s="2111"/>
      <c r="B211" s="2147"/>
      <c r="C211" s="2109" t="s">
        <v>4894</v>
      </c>
      <c r="L211" s="2147"/>
      <c r="N211" s="3849" t="s">
        <v>5197</v>
      </c>
      <c r="O211" s="3850"/>
      <c r="P211" s="3851"/>
      <c r="Q211" s="2012"/>
      <c r="S211" s="2106"/>
      <c r="T211" s="2106"/>
      <c r="U211" s="2106"/>
      <c r="V211" s="2012"/>
      <c r="AM211" s="2495">
        <v>211</v>
      </c>
    </row>
    <row r="212" spans="1:39" s="2109" customFormat="1" ht="15.95" customHeight="1">
      <c r="A212" s="2112" t="s">
        <v>1836</v>
      </c>
      <c r="B212" s="2240" t="s">
        <v>4073</v>
      </c>
      <c r="L212" s="2211" t="s">
        <v>4892</v>
      </c>
      <c r="M212" s="2111">
        <v>6</v>
      </c>
      <c r="N212" s="2147"/>
      <c r="O212" s="2216">
        <f>MIN($M212,O213+O214+O215)</f>
        <v>5</v>
      </c>
      <c r="P212" s="2216">
        <f>MIN($M212,P213+P214+P215)</f>
        <v>0</v>
      </c>
      <c r="Q212" s="2012"/>
      <c r="S212" s="2106"/>
      <c r="T212" s="2106"/>
      <c r="U212" s="2106"/>
      <c r="V212" s="2012"/>
      <c r="AM212" s="2494">
        <v>212</v>
      </c>
    </row>
    <row r="213" spans="1:39" ht="15.95" customHeight="1">
      <c r="A213" s="2291"/>
      <c r="B213" s="2240" t="s">
        <v>4895</v>
      </c>
      <c r="D213" s="2164"/>
      <c r="E213" s="2164"/>
      <c r="F213" s="2164"/>
      <c r="G213" s="2164"/>
      <c r="H213" s="2164"/>
      <c r="I213" s="2164"/>
      <c r="K213" s="2111"/>
      <c r="L213" s="2146" t="str">
        <f t="shared" ref="L213:L214" si="6">IF(OR($O213=$M213,$O213=0,$O213=""),"","* * Check Score! * *")</f>
        <v/>
      </c>
      <c r="M213" s="2111">
        <v>2</v>
      </c>
      <c r="N213" s="2166"/>
      <c r="O213" s="2013">
        <v>2</v>
      </c>
      <c r="P213" s="2238"/>
      <c r="R213" s="2106"/>
      <c r="S213" s="2106"/>
      <c r="T213" s="2106"/>
      <c r="U213" s="2106"/>
      <c r="AM213" s="2495">
        <v>213</v>
      </c>
    </row>
    <row r="214" spans="1:39" ht="15.95" customHeight="1">
      <c r="A214" s="2179"/>
      <c r="B214" s="2108" t="s">
        <v>4896</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4973</v>
      </c>
      <c r="D215" s="2164"/>
      <c r="E215" s="2164"/>
      <c r="F215" s="2164"/>
      <c r="G215" s="2164"/>
      <c r="H215" s="2164"/>
      <c r="I215" s="2164"/>
      <c r="K215" s="2111"/>
      <c r="L215" s="2211" t="s">
        <v>4892</v>
      </c>
      <c r="M215" s="2111">
        <v>3</v>
      </c>
      <c r="N215" s="2108"/>
      <c r="O215" s="2216">
        <f>MIN($M215,O216+O220+O221)</f>
        <v>3</v>
      </c>
      <c r="P215" s="2216">
        <f>MIN($M215,P216+P220+P221)</f>
        <v>0</v>
      </c>
      <c r="R215" s="2106"/>
      <c r="S215" s="2106"/>
      <c r="T215" s="2106"/>
      <c r="U215" s="2106"/>
      <c r="AM215" s="2494">
        <v>215</v>
      </c>
    </row>
    <row r="216" spans="1:39" ht="15.95" customHeight="1">
      <c r="A216" s="2111"/>
      <c r="B216" s="2152"/>
      <c r="C216" s="2163" t="s">
        <v>4974</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4897</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4898</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4899</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4901</v>
      </c>
      <c r="E220" s="2161"/>
      <c r="F220" s="2161"/>
      <c r="G220" s="2161"/>
      <c r="H220" s="2161"/>
      <c r="I220" s="2161"/>
      <c r="J220" s="2161"/>
      <c r="K220" s="2161"/>
      <c r="L220" s="2146" t="str">
        <f t="shared" ref="L220:L221" si="7">IF(OR($O220=$M220,$O220=0,$O220=""),"","* * Check Score! * *")</f>
        <v/>
      </c>
      <c r="M220" s="2222">
        <v>1</v>
      </c>
      <c r="N220" s="2173"/>
      <c r="O220" s="2013">
        <v>1</v>
      </c>
      <c r="P220" s="2238"/>
      <c r="AM220" s="2494">
        <v>220</v>
      </c>
    </row>
    <row r="221" spans="1:39" ht="15.95" customHeight="1">
      <c r="A221" s="2111"/>
      <c r="C221" s="2163" t="s">
        <v>5011</v>
      </c>
      <c r="E221" s="2161"/>
      <c r="F221" s="2161"/>
      <c r="G221" s="2161"/>
      <c r="H221" s="2161"/>
      <c r="I221" s="2161"/>
      <c r="J221" s="2161"/>
      <c r="K221" s="2161"/>
      <c r="L221" s="2146" t="str">
        <f t="shared" si="7"/>
        <v/>
      </c>
      <c r="M221" s="2222">
        <v>2</v>
      </c>
      <c r="N221" s="2173"/>
      <c r="O221" s="2002">
        <v>2</v>
      </c>
      <c r="P221" s="2239"/>
      <c r="AM221" s="2495">
        <v>221</v>
      </c>
    </row>
    <row r="222" spans="1:39" ht="15.95" customHeight="1">
      <c r="A222" s="2112" t="s">
        <v>1838</v>
      </c>
      <c r="B222" s="2120" t="s">
        <v>3308</v>
      </c>
      <c r="C222" s="2161"/>
      <c r="D222" s="2161"/>
      <c r="E222" s="2161"/>
      <c r="F222" s="2161"/>
      <c r="G222" s="2161"/>
      <c r="H222" s="2161"/>
      <c r="I222" s="2161"/>
      <c r="J222" s="2161"/>
      <c r="K222" s="2161"/>
      <c r="L222" s="2211" t="s">
        <v>4892</v>
      </c>
      <c r="M222" s="2112">
        <v>3</v>
      </c>
      <c r="N222" s="2173"/>
      <c r="O222" s="2157">
        <f>IF(O223="yes",MIN($M222,O224+O228),0)</f>
        <v>0</v>
      </c>
      <c r="P222" s="2157">
        <f>IF(P223="yes",MIN($M222,P224+P228),0)</f>
        <v>0</v>
      </c>
      <c r="Q222" s="2144"/>
      <c r="R222" s="2150"/>
      <c r="AM222" s="2495">
        <v>222</v>
      </c>
    </row>
    <row r="223" spans="1:39" ht="15.95" customHeight="1">
      <c r="A223" s="2112"/>
      <c r="B223" s="2109" t="s">
        <v>4975</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4902</v>
      </c>
      <c r="D224" s="2161"/>
      <c r="E224" s="2161"/>
      <c r="F224" s="2161"/>
      <c r="G224" s="2161"/>
      <c r="H224" s="2161"/>
      <c r="L224" s="2211" t="s">
        <v>4892</v>
      </c>
      <c r="M224" s="2111">
        <v>3</v>
      </c>
      <c r="N224" s="2173"/>
      <c r="O224" s="2400">
        <f>MIN($M224,O225+O226+O227)</f>
        <v>0</v>
      </c>
      <c r="P224" s="2400">
        <f>MIN($M224,P225+P226+P227)</f>
        <v>0</v>
      </c>
      <c r="Q224" s="2144"/>
      <c r="R224" s="2150"/>
      <c r="AM224" s="2495">
        <v>224</v>
      </c>
    </row>
    <row r="225" spans="1:39" ht="15.95" customHeight="1">
      <c r="B225" s="2152" t="s">
        <v>1958</v>
      </c>
      <c r="C225" s="2108" t="s">
        <v>4976</v>
      </c>
      <c r="L225" s="2146" t="str">
        <f>IF(OR($O225=$M225,$O225=0,$O225=""),"","* * Check Score! * *")</f>
        <v/>
      </c>
      <c r="M225" s="2129">
        <v>1</v>
      </c>
      <c r="O225" s="2013"/>
      <c r="P225" s="2238"/>
      <c r="AM225" s="2494">
        <v>225</v>
      </c>
    </row>
    <row r="226" spans="1:39" ht="15.95" customHeight="1">
      <c r="B226" s="2152" t="s">
        <v>1959</v>
      </c>
      <c r="C226" s="2108" t="s">
        <v>4903</v>
      </c>
      <c r="L226" s="2146" t="str">
        <f t="shared" ref="L226" si="8">IF(OR($O226=$M226,$O226=0,$O226=""),"","* * Check Score! * *")</f>
        <v/>
      </c>
      <c r="M226" s="2129">
        <v>1</v>
      </c>
      <c r="O226" s="2001"/>
      <c r="P226" s="2241"/>
      <c r="AM226" s="2495">
        <v>226</v>
      </c>
    </row>
    <row r="227" spans="1:39" ht="15.95" customHeight="1">
      <c r="B227" s="2152" t="s">
        <v>1608</v>
      </c>
      <c r="C227" s="2108" t="s">
        <v>4977</v>
      </c>
      <c r="L227" s="2146"/>
      <c r="M227" s="2129">
        <v>1</v>
      </c>
      <c r="O227" s="2002"/>
      <c r="P227" s="2239"/>
      <c r="AM227" s="2494">
        <v>227</v>
      </c>
    </row>
    <row r="228" spans="1:39" ht="15.95" customHeight="1">
      <c r="A228" s="2132"/>
      <c r="B228" s="2151" t="s">
        <v>1841</v>
      </c>
      <c r="C228" s="2109" t="s">
        <v>4904</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697</v>
      </c>
      <c r="B229" s="2120" t="s">
        <v>4851</v>
      </c>
      <c r="D229" s="2109"/>
      <c r="F229" s="2294"/>
      <c r="K229" s="2295"/>
      <c r="L229" s="2211" t="s">
        <v>4892</v>
      </c>
      <c r="M229" s="2112">
        <v>3</v>
      </c>
      <c r="N229" s="2147"/>
      <c r="O229" s="2296">
        <f>MIN($M229,O230+O231)</f>
        <v>3</v>
      </c>
      <c r="P229" s="2296">
        <f>MIN($M229,P230+P231)</f>
        <v>0</v>
      </c>
      <c r="Q229" s="2149"/>
      <c r="R229" s="2150"/>
      <c r="AM229" s="2494">
        <v>229</v>
      </c>
    </row>
    <row r="230" spans="1:39" ht="15.95" customHeight="1">
      <c r="A230" s="2109"/>
      <c r="B230" s="2292" t="s">
        <v>1839</v>
      </c>
      <c r="C230" s="2163" t="s">
        <v>3697</v>
      </c>
      <c r="D230" s="2161"/>
      <c r="E230" s="2161"/>
      <c r="F230" s="2161"/>
      <c r="G230" s="2161"/>
      <c r="H230" s="2161"/>
      <c r="I230" s="2161"/>
      <c r="J230" s="2161"/>
      <c r="K230" s="2161"/>
      <c r="L230" s="2211" t="s">
        <v>4892</v>
      </c>
      <c r="M230" s="2173">
        <v>2</v>
      </c>
      <c r="N230" s="2173"/>
      <c r="O230" s="2002">
        <v>2</v>
      </c>
      <c r="P230" s="2239"/>
      <c r="AM230" s="2494">
        <v>230</v>
      </c>
    </row>
    <row r="231" spans="1:39" ht="15.95" customHeight="1">
      <c r="A231" s="2109"/>
      <c r="B231" s="2151" t="s">
        <v>1841</v>
      </c>
      <c r="C231" s="2163" t="s">
        <v>4905</v>
      </c>
      <c r="D231" s="2161"/>
      <c r="E231" s="2161"/>
      <c r="F231" s="2161"/>
      <c r="G231" s="2161"/>
      <c r="H231" s="2161"/>
      <c r="I231" s="2161"/>
      <c r="J231" s="2161"/>
      <c r="K231" s="2161"/>
      <c r="L231" s="2161"/>
      <c r="M231" s="2173">
        <v>1</v>
      </c>
      <c r="N231" s="2173"/>
      <c r="O231" s="2002">
        <v>1</v>
      </c>
      <c r="P231" s="2239"/>
      <c r="AM231" s="2494">
        <v>231</v>
      </c>
    </row>
    <row r="232" spans="1:39" s="2109" customFormat="1" ht="15.95" customHeight="1">
      <c r="B232" s="2131" t="s">
        <v>4843</v>
      </c>
      <c r="L232" s="2108"/>
      <c r="M232" s="2111"/>
      <c r="N232" s="2129"/>
      <c r="O232" s="2122"/>
      <c r="P232" s="2121"/>
      <c r="AM232" s="2494">
        <v>232</v>
      </c>
    </row>
    <row r="233" spans="1:39" ht="43.5" customHeight="1">
      <c r="A233" s="3776" t="s">
        <v>5228</v>
      </c>
      <c r="B233" s="3777"/>
      <c r="C233" s="3777"/>
      <c r="D233" s="3777"/>
      <c r="E233" s="3777"/>
      <c r="F233" s="3777"/>
      <c r="G233" s="3777"/>
      <c r="H233" s="3777"/>
      <c r="I233" s="3777"/>
      <c r="J233" s="3777"/>
      <c r="K233" s="3777"/>
      <c r="L233" s="3777"/>
      <c r="M233" s="3777"/>
      <c r="N233" s="3777"/>
      <c r="O233" s="3777"/>
      <c r="P233" s="3778"/>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756"/>
      <c r="B235" s="3757"/>
      <c r="C235" s="3757"/>
      <c r="D235" s="3757"/>
      <c r="E235" s="3757"/>
      <c r="F235" s="3757"/>
      <c r="G235" s="3757"/>
      <c r="H235" s="3757"/>
      <c r="I235" s="3757"/>
      <c r="J235" s="3757"/>
      <c r="K235" s="3757"/>
      <c r="L235" s="3757"/>
      <c r="M235" s="3757"/>
      <c r="N235" s="3757"/>
      <c r="O235" s="3757"/>
      <c r="P235" s="3758"/>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2491</v>
      </c>
      <c r="D238" s="2133"/>
      <c r="E238" s="2133"/>
      <c r="F238" s="2141" t="s">
        <v>424</v>
      </c>
      <c r="G238" s="2141" t="str">
        <f>'Part I-Project Identification'!$P$26</f>
        <v>No</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4995</v>
      </c>
      <c r="S238" s="2106"/>
      <c r="T238" s="2106"/>
      <c r="U238" s="2106"/>
      <c r="V238" s="2445" t="str">
        <f>$C$16</f>
        <v>Revitalization/Redevelopment Plans</v>
      </c>
      <c r="W238" s="2108"/>
      <c r="X238" s="2108"/>
      <c r="AM238" s="2495">
        <v>238</v>
      </c>
    </row>
    <row r="239" spans="1:39" s="2109" customFormat="1" ht="15.95" customHeight="1">
      <c r="A239" s="2132"/>
      <c r="B239" s="2133"/>
      <c r="D239" s="2133"/>
      <c r="E239" s="2133"/>
      <c r="F239" s="2141" t="s">
        <v>5036</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5" customHeight="1">
      <c r="A240" s="2132"/>
      <c r="B240" s="2120" t="s">
        <v>4906</v>
      </c>
      <c r="D240" s="2133"/>
      <c r="J240" s="2345" t="s">
        <v>2881</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4911</v>
      </c>
      <c r="D241" s="2409"/>
      <c r="E241" s="2409"/>
      <c r="G241" s="3831" t="s">
        <v>4909</v>
      </c>
      <c r="H241" s="3832"/>
      <c r="I241" s="2411" t="s">
        <v>4913</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4912</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4719</v>
      </c>
      <c r="J244" s="3833"/>
      <c r="K244" s="3834"/>
      <c r="L244" s="3834"/>
      <c r="M244" s="3835"/>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4907</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4940</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4941</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4978</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4979</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4980</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4910</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4981</v>
      </c>
      <c r="C253" s="2108"/>
      <c r="D253" s="2403"/>
      <c r="E253" s="3836" t="s">
        <v>4982</v>
      </c>
      <c r="F253" s="3836"/>
      <c r="G253" s="3836"/>
      <c r="H253" s="2404" t="s">
        <v>4720</v>
      </c>
      <c r="I253" s="3837" t="s">
        <v>4983</v>
      </c>
      <c r="J253" s="3837"/>
      <c r="K253" s="3837"/>
      <c r="L253" s="3837"/>
      <c r="M253" s="3837"/>
      <c r="N253" s="3837"/>
      <c r="O253" s="3837"/>
      <c r="P253" s="3837"/>
      <c r="R253" s="2150"/>
      <c r="S253" s="2106"/>
      <c r="T253" s="2106"/>
      <c r="U253" s="2106"/>
      <c r="V253" s="2108"/>
      <c r="W253" s="2108"/>
      <c r="X253" s="2108"/>
      <c r="AM253" s="2495">
        <v>253</v>
      </c>
    </row>
    <row r="254" spans="1:39" s="2109" customFormat="1" ht="15.95" customHeight="1">
      <c r="A254" s="2132"/>
      <c r="B254" s="2109" t="s">
        <v>4984</v>
      </c>
      <c r="C254" s="2108"/>
      <c r="D254" s="2403"/>
      <c r="E254" s="3838"/>
      <c r="F254" s="3839"/>
      <c r="G254" s="2447"/>
      <c r="H254" s="2405"/>
      <c r="I254" s="3838"/>
      <c r="J254" s="3839"/>
      <c r="K254" s="3840"/>
      <c r="L254" s="3841"/>
      <c r="M254" s="3838" t="s">
        <v>4985</v>
      </c>
      <c r="N254" s="3842"/>
      <c r="O254" s="3842"/>
      <c r="P254" s="3839"/>
      <c r="R254" s="2150"/>
      <c r="S254" s="2106"/>
      <c r="T254" s="2106"/>
      <c r="U254" s="2106"/>
      <c r="V254" s="2108"/>
      <c r="W254" s="2108"/>
      <c r="X254" s="2108"/>
      <c r="AM254" s="2495">
        <v>254</v>
      </c>
    </row>
    <row r="255" spans="1:39" s="2109" customFormat="1" ht="15.95" customHeight="1">
      <c r="A255" s="2132"/>
      <c r="B255" s="2109" t="s">
        <v>4986</v>
      </c>
      <c r="C255" s="2108"/>
      <c r="D255" s="2403"/>
      <c r="E255" s="3821"/>
      <c r="F255" s="3822"/>
      <c r="G255" s="2448"/>
      <c r="H255" s="2406"/>
      <c r="I255" s="3821"/>
      <c r="J255" s="3822"/>
      <c r="K255" s="3823"/>
      <c r="L255" s="3824"/>
      <c r="M255" s="3821" t="s">
        <v>4985</v>
      </c>
      <c r="N255" s="3825"/>
      <c r="O255" s="3825"/>
      <c r="P255" s="3822"/>
      <c r="R255" s="2150"/>
      <c r="S255" s="2106"/>
      <c r="T255" s="2106"/>
      <c r="U255" s="2106"/>
      <c r="V255" s="2108"/>
      <c r="W255" s="2108"/>
      <c r="X255" s="2108"/>
      <c r="AM255" s="2494">
        <v>255</v>
      </c>
    </row>
    <row r="256" spans="1:39" s="2109" customFormat="1" ht="15.95" customHeight="1">
      <c r="A256" s="2132"/>
      <c r="B256" s="2109" t="s">
        <v>4987</v>
      </c>
      <c r="C256" s="2108"/>
      <c r="D256" s="2403"/>
      <c r="E256" s="3821"/>
      <c r="F256" s="3822"/>
      <c r="G256" s="2448"/>
      <c r="H256" s="2406"/>
      <c r="I256" s="3821"/>
      <c r="J256" s="3822"/>
      <c r="K256" s="3823"/>
      <c r="L256" s="3824"/>
      <c r="M256" s="3821" t="s">
        <v>4985</v>
      </c>
      <c r="N256" s="3825"/>
      <c r="O256" s="3825"/>
      <c r="P256" s="3822"/>
      <c r="R256" s="2150"/>
      <c r="S256" s="2106"/>
      <c r="T256" s="2106"/>
      <c r="U256" s="2106"/>
      <c r="V256" s="2108"/>
      <c r="W256" s="2108"/>
      <c r="X256" s="2108"/>
      <c r="AM256" s="2495">
        <v>256</v>
      </c>
    </row>
    <row r="257" spans="1:39" s="2109" customFormat="1" ht="15.95" customHeight="1">
      <c r="A257" s="2132"/>
      <c r="B257" s="2109" t="s">
        <v>4988</v>
      </c>
      <c r="C257" s="2133"/>
      <c r="D257" s="2133"/>
      <c r="E257" s="3821"/>
      <c r="F257" s="3822"/>
      <c r="G257" s="2448"/>
      <c r="H257" s="2451"/>
      <c r="I257" s="3821"/>
      <c r="J257" s="3822"/>
      <c r="K257" s="3823"/>
      <c r="L257" s="3824"/>
      <c r="M257" s="3821" t="s">
        <v>4985</v>
      </c>
      <c r="N257" s="3825"/>
      <c r="O257" s="3825"/>
      <c r="P257" s="3822"/>
      <c r="R257" s="2150"/>
      <c r="S257" s="2106"/>
      <c r="T257" s="2106"/>
      <c r="U257" s="2106"/>
      <c r="V257" s="2108"/>
      <c r="W257" s="2108"/>
      <c r="X257" s="2108"/>
      <c r="AM257" s="2494">
        <v>257</v>
      </c>
    </row>
    <row r="258" spans="1:39" s="2109" customFormat="1" ht="15.95" customHeight="1">
      <c r="A258" s="2132"/>
      <c r="B258" s="2109" t="s">
        <v>4112</v>
      </c>
      <c r="C258" s="2133"/>
      <c r="D258" s="2133"/>
      <c r="E258" s="3826"/>
      <c r="F258" s="3827"/>
      <c r="G258" s="2449"/>
      <c r="H258" s="2452"/>
      <c r="I258" s="3826"/>
      <c r="J258" s="3827"/>
      <c r="K258" s="3828"/>
      <c r="L258" s="3829"/>
      <c r="M258" s="3826" t="s">
        <v>4985</v>
      </c>
      <c r="N258" s="3830"/>
      <c r="O258" s="3830"/>
      <c r="P258" s="3827"/>
      <c r="R258" s="2150"/>
      <c r="S258" s="2106"/>
      <c r="T258" s="2106"/>
      <c r="U258" s="2106"/>
      <c r="V258" s="2108"/>
      <c r="W258" s="2108"/>
      <c r="X258" s="2108"/>
      <c r="AM258" s="2494">
        <v>258</v>
      </c>
    </row>
    <row r="259" spans="1:39" ht="15.95" customHeight="1">
      <c r="A259" s="2109"/>
      <c r="B259" s="2131" t="s">
        <v>4843</v>
      </c>
      <c r="C259" s="2109"/>
      <c r="D259" s="2109"/>
      <c r="E259" s="2109"/>
      <c r="F259" s="2109"/>
      <c r="G259" s="2109"/>
      <c r="H259" s="2109"/>
      <c r="I259" s="2109"/>
      <c r="J259" s="2109"/>
      <c r="K259" s="2109"/>
      <c r="M259" s="2111"/>
      <c r="O259" s="2122"/>
      <c r="AM259" s="2494">
        <v>259</v>
      </c>
    </row>
    <row r="260" spans="1:39" ht="15.95" customHeight="1">
      <c r="A260" s="3776" t="s">
        <v>5171</v>
      </c>
      <c r="B260" s="3777"/>
      <c r="C260" s="3777"/>
      <c r="D260" s="3777"/>
      <c r="E260" s="3777"/>
      <c r="F260" s="3777"/>
      <c r="G260" s="3777"/>
      <c r="H260" s="3777"/>
      <c r="I260" s="3777"/>
      <c r="J260" s="3777"/>
      <c r="K260" s="3777"/>
      <c r="L260" s="3777"/>
      <c r="M260" s="3777"/>
      <c r="N260" s="3777"/>
      <c r="O260" s="3777"/>
      <c r="P260" s="3778"/>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756"/>
      <c r="B262" s="3757"/>
      <c r="C262" s="3757"/>
      <c r="D262" s="3757"/>
      <c r="E262" s="3757"/>
      <c r="F262" s="3757"/>
      <c r="G262" s="3757"/>
      <c r="H262" s="3757"/>
      <c r="I262" s="3757"/>
      <c r="J262" s="3757"/>
      <c r="K262" s="3757"/>
      <c r="L262" s="3757"/>
      <c r="M262" s="3757"/>
      <c r="N262" s="3757"/>
      <c r="O262" s="3757"/>
      <c r="P262" s="3758"/>
      <c r="Q262" s="2175"/>
      <c r="AM262" s="2495">
        <v>262</v>
      </c>
    </row>
    <row r="263" spans="1:39" ht="9.75" customHeight="1">
      <c r="AM263" s="2495">
        <v>263</v>
      </c>
    </row>
    <row r="264" spans="1:39" ht="9.75" customHeight="1" thickBot="1">
      <c r="AM264" s="2495">
        <v>264</v>
      </c>
    </row>
    <row r="265" spans="1:39" s="2109" customFormat="1" ht="15.95" customHeight="1" thickBot="1">
      <c r="A265" s="2132" t="s">
        <v>3282</v>
      </c>
      <c r="B265" s="2133" t="s">
        <v>3254</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4995</v>
      </c>
      <c r="S265" s="2106"/>
      <c r="T265" s="2106"/>
      <c r="U265" s="2106"/>
      <c r="V265" s="2445" t="str">
        <f>$C$16</f>
        <v>Revitalization/Redevelopment Plans</v>
      </c>
      <c r="AM265" s="2494">
        <v>265</v>
      </c>
    </row>
    <row r="266" spans="1:39" ht="15.95" customHeight="1">
      <c r="A266" s="2112" t="s">
        <v>1836</v>
      </c>
      <c r="B266" s="2184" t="s">
        <v>3179</v>
      </c>
      <c r="D266" s="2163"/>
      <c r="E266" s="2163"/>
      <c r="F266" s="2163"/>
      <c r="G266" s="2163"/>
      <c r="H266" s="2163"/>
      <c r="L266" s="2163"/>
      <c r="M266" s="3819"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3180</v>
      </c>
      <c r="D267" s="2163"/>
      <c r="L267" s="2163"/>
      <c r="M267" s="3819"/>
      <c r="N267" s="2147"/>
      <c r="O267" s="2003"/>
      <c r="P267" s="2156"/>
      <c r="Q267" s="2017"/>
      <c r="R267" s="2106"/>
      <c r="S267" s="2106"/>
      <c r="T267" s="2106"/>
      <c r="U267" s="2106"/>
      <c r="V267" s="2106"/>
      <c r="AM267" s="2494">
        <v>267</v>
      </c>
    </row>
    <row r="268" spans="1:39" ht="15.95" customHeight="1">
      <c r="A268" s="2109"/>
      <c r="B268" s="2131" t="s">
        <v>4843</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776" t="s">
        <v>5172</v>
      </c>
      <c r="B269" s="3777"/>
      <c r="C269" s="3777"/>
      <c r="D269" s="3777"/>
      <c r="E269" s="3777"/>
      <c r="F269" s="3777"/>
      <c r="G269" s="3777"/>
      <c r="H269" s="3777"/>
      <c r="I269" s="3777"/>
      <c r="J269" s="3777"/>
      <c r="K269" s="3777"/>
      <c r="L269" s="3777"/>
      <c r="M269" s="3777"/>
      <c r="N269" s="3777"/>
      <c r="O269" s="3777"/>
      <c r="P269" s="3778"/>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756"/>
      <c r="B271" s="3757"/>
      <c r="C271" s="3757"/>
      <c r="D271" s="3757"/>
      <c r="E271" s="3757"/>
      <c r="F271" s="3757"/>
      <c r="G271" s="3757"/>
      <c r="H271" s="3757"/>
      <c r="I271" s="3757"/>
      <c r="J271" s="3757"/>
      <c r="K271" s="3757"/>
      <c r="L271" s="3757"/>
      <c r="M271" s="3757"/>
      <c r="N271" s="3757"/>
      <c r="O271" s="3757"/>
      <c r="P271" s="3758"/>
      <c r="Q271" s="2175"/>
      <c r="AM271" s="2495">
        <v>271</v>
      </c>
    </row>
    <row r="272" spans="1:39" ht="9.75" customHeight="1">
      <c r="AM272" s="2495">
        <v>272</v>
      </c>
    </row>
    <row r="273" spans="1:39" ht="9.75" customHeight="1" thickBot="1">
      <c r="AM273" s="2495">
        <v>273</v>
      </c>
    </row>
    <row r="274" spans="1:39" ht="15.95" customHeight="1" thickBot="1">
      <c r="A274" s="2132" t="s">
        <v>3283</v>
      </c>
      <c r="B274" s="2133" t="s">
        <v>3907</v>
      </c>
      <c r="E274" s="2150" t="str">
        <f>IF(AND(O274&gt;0,NOT($F$12="New Affordability"),NOT($O$12="9%")), "Ineligible, not New Affordability and 9%!","")</f>
        <v/>
      </c>
      <c r="G274" s="2287" t="str">
        <f>$O$12</f>
        <v>9%</v>
      </c>
      <c r="H274" s="2210" t="str">
        <f>$J$12</f>
        <v>Atlanta Metro</v>
      </c>
      <c r="L274" s="2142" t="s">
        <v>4892</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4153</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4700</v>
      </c>
      <c r="H276" s="3783" t="s">
        <v>573</v>
      </c>
      <c r="I276" s="3783"/>
      <c r="J276" s="3783"/>
      <c r="K276" s="3820" t="s">
        <v>4738</v>
      </c>
      <c r="L276" s="3820"/>
      <c r="M276" s="3820"/>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4154</v>
      </c>
      <c r="G277" s="2019"/>
      <c r="H277" s="3811"/>
      <c r="I277" s="3812"/>
      <c r="J277" s="3813"/>
      <c r="K277" s="3814"/>
      <c r="L277" s="3814"/>
      <c r="M277" s="3814"/>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4155</v>
      </c>
      <c r="G278" s="2020"/>
      <c r="H278" s="3815"/>
      <c r="I278" s="3816"/>
      <c r="J278" s="3817"/>
      <c r="K278" s="3818"/>
      <c r="L278" s="3818"/>
      <c r="M278" s="3818"/>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4843</v>
      </c>
      <c r="C280" s="2109"/>
      <c r="D280" s="2109"/>
      <c r="E280" s="2109"/>
      <c r="F280" s="2109"/>
      <c r="G280" s="2109"/>
      <c r="H280" s="2109"/>
      <c r="I280" s="2109"/>
      <c r="J280" s="2109"/>
      <c r="K280" s="2109"/>
      <c r="M280" s="2111"/>
      <c r="O280" s="2122"/>
      <c r="AM280" s="2494">
        <v>280</v>
      </c>
    </row>
    <row r="281" spans="1:39" ht="15.95" customHeight="1">
      <c r="A281" s="3776" t="s">
        <v>5210</v>
      </c>
      <c r="B281" s="3777"/>
      <c r="C281" s="3777"/>
      <c r="D281" s="3777"/>
      <c r="E281" s="3777"/>
      <c r="F281" s="3777"/>
      <c r="G281" s="3777"/>
      <c r="H281" s="3777"/>
      <c r="I281" s="3777"/>
      <c r="J281" s="3777"/>
      <c r="K281" s="3777"/>
      <c r="L281" s="3777"/>
      <c r="M281" s="3777"/>
      <c r="N281" s="3777"/>
      <c r="O281" s="3777"/>
      <c r="P281" s="3778"/>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756"/>
      <c r="B283" s="3757"/>
      <c r="C283" s="3757"/>
      <c r="D283" s="3757"/>
      <c r="E283" s="3757"/>
      <c r="F283" s="3757"/>
      <c r="G283" s="3757"/>
      <c r="H283" s="3757"/>
      <c r="I283" s="3757"/>
      <c r="J283" s="3757"/>
      <c r="K283" s="3757"/>
      <c r="L283" s="3757"/>
      <c r="M283" s="3757"/>
      <c r="N283" s="3757"/>
      <c r="O283" s="3757"/>
      <c r="P283" s="3758"/>
      <c r="Q283" s="2175"/>
      <c r="AM283" s="2495">
        <v>283</v>
      </c>
    </row>
    <row r="284" spans="1:39" ht="9.75" customHeight="1">
      <c r="AM284" s="2495">
        <v>284</v>
      </c>
    </row>
    <row r="285" spans="1:39" ht="9.75" customHeight="1" thickBot="1">
      <c r="AM285" s="2494">
        <v>285</v>
      </c>
    </row>
    <row r="286" spans="1:39" ht="15.95" customHeight="1" thickBot="1">
      <c r="A286" s="2132" t="s">
        <v>3281</v>
      </c>
      <c r="B286" s="2133" t="s">
        <v>3835</v>
      </c>
      <c r="G286" s="2145"/>
      <c r="I286" s="2177" t="str">
        <f>IF($O$274&gt;0,"Points already claimed in another restricted section!","")</f>
        <v/>
      </c>
      <c r="K286" s="2315" t="str">
        <f>IF(AND(SUM(O288,O291,O294)&gt;0,NOT($F$12="New Affordability"),NOT($O$12="9%")), "Not 9% New Affordability!","")</f>
        <v/>
      </c>
      <c r="L286" s="2142" t="s">
        <v>4892</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4914</v>
      </c>
      <c r="AM287" s="2495">
        <v>287</v>
      </c>
    </row>
    <row r="288" spans="1:39" s="2109" customFormat="1" ht="15.95" customHeight="1">
      <c r="A288" s="2112" t="s">
        <v>1836</v>
      </c>
      <c r="B288" s="2120" t="s">
        <v>4915</v>
      </c>
      <c r="L288" s="2211" t="s">
        <v>4892</v>
      </c>
      <c r="M288" s="2111">
        <v>5</v>
      </c>
      <c r="N288" s="2147"/>
      <c r="O288" s="2009"/>
      <c r="P288" s="2279"/>
      <c r="Q288" s="2149" t="str">
        <f>IF(OR($O288&lt;=$M288,$O288=""),"","*CHECK!*")</f>
        <v/>
      </c>
      <c r="R288" s="2150"/>
      <c r="S288" s="2106"/>
      <c r="T288" s="2106"/>
      <c r="U288" s="2106"/>
      <c r="V288" s="2106"/>
      <c r="AM288" s="2494">
        <v>288</v>
      </c>
    </row>
    <row r="289" spans="1:39" ht="15.75" customHeight="1">
      <c r="C289" s="2108" t="s">
        <v>4989</v>
      </c>
      <c r="O289" s="2013"/>
      <c r="P289" s="2238"/>
      <c r="AM289" s="2494">
        <v>289</v>
      </c>
    </row>
    <row r="290" spans="1:39" ht="15.75" customHeight="1">
      <c r="C290" s="2108" t="s">
        <v>4990</v>
      </c>
      <c r="O290" s="2018"/>
      <c r="P290" s="2239"/>
      <c r="AM290" s="2495">
        <v>290</v>
      </c>
    </row>
    <row r="291" spans="1:39" s="2109" customFormat="1" ht="15.95" customHeight="1">
      <c r="A291" s="2112" t="s">
        <v>1838</v>
      </c>
      <c r="B291" s="2120" t="s">
        <v>4916</v>
      </c>
      <c r="L291" s="2211" t="s">
        <v>4892</v>
      </c>
      <c r="M291" s="2111">
        <v>3</v>
      </c>
      <c r="N291" s="2147"/>
      <c r="O291" s="2011">
        <v>3</v>
      </c>
      <c r="P291" s="2229"/>
      <c r="Q291" s="2149" t="str">
        <f>IF(OR($O291&lt;=$M291,$O291=""),"","*CHECK!*")</f>
        <v/>
      </c>
      <c r="R291" s="2150"/>
      <c r="AM291" s="2495">
        <v>291</v>
      </c>
    </row>
    <row r="292" spans="1:39" ht="15.75" customHeight="1">
      <c r="C292" s="2108" t="s">
        <v>4918</v>
      </c>
      <c r="O292" s="2105"/>
      <c r="P292" s="2227"/>
      <c r="AM292" s="2495">
        <v>292</v>
      </c>
    </row>
    <row r="293" spans="1:39" ht="15" customHeight="1">
      <c r="C293" s="2108" t="s">
        <v>4921</v>
      </c>
      <c r="O293" s="2018" t="s">
        <v>2642</v>
      </c>
      <c r="P293" s="2241"/>
      <c r="AM293" s="2495">
        <v>293</v>
      </c>
    </row>
    <row r="294" spans="1:39" ht="15.95" customHeight="1">
      <c r="A294" s="2112" t="s">
        <v>697</v>
      </c>
      <c r="B294" s="2120" t="s">
        <v>4917</v>
      </c>
      <c r="G294" s="2141"/>
      <c r="I294" s="2145"/>
      <c r="L294" s="2211" t="s">
        <v>4892</v>
      </c>
      <c r="M294" s="2111">
        <v>3</v>
      </c>
      <c r="N294" s="2147"/>
      <c r="O294" s="2013"/>
      <c r="P294" s="2238"/>
      <c r="Q294" s="2149" t="str">
        <f>IF(OR($O294&lt;=$M294,$O294=""),"","*CHECK!*")</f>
        <v/>
      </c>
      <c r="R294" s="2150"/>
      <c r="AM294" s="2494">
        <v>294</v>
      </c>
    </row>
    <row r="295" spans="1:39" ht="15.75" customHeight="1">
      <c r="C295" s="2108" t="s">
        <v>4991</v>
      </c>
      <c r="O295" s="2099"/>
      <c r="P295" s="2100"/>
      <c r="AM295" s="2495">
        <v>295</v>
      </c>
    </row>
    <row r="296" spans="1:39" ht="9.75" customHeight="1">
      <c r="AM296" s="2494">
        <v>296</v>
      </c>
    </row>
    <row r="297" spans="1:39" ht="15.95" customHeight="1">
      <c r="A297" s="2109"/>
      <c r="B297" s="2131" t="s">
        <v>4843</v>
      </c>
      <c r="C297" s="2109"/>
      <c r="D297" s="2109"/>
      <c r="E297" s="2109"/>
      <c r="F297" s="2109"/>
      <c r="G297" s="2109"/>
      <c r="H297" s="2109"/>
      <c r="I297" s="2109"/>
      <c r="J297" s="2109"/>
      <c r="K297" s="2109"/>
      <c r="M297" s="2111"/>
      <c r="O297" s="2122"/>
      <c r="AM297" s="2494">
        <v>297</v>
      </c>
    </row>
    <row r="298" spans="1:39" ht="15.95" customHeight="1">
      <c r="A298" s="3776" t="s">
        <v>5226</v>
      </c>
      <c r="B298" s="3777"/>
      <c r="C298" s="3777"/>
      <c r="D298" s="3777"/>
      <c r="E298" s="3777"/>
      <c r="F298" s="3777"/>
      <c r="G298" s="3777"/>
      <c r="H298" s="3777"/>
      <c r="I298" s="3777"/>
      <c r="J298" s="3777"/>
      <c r="K298" s="3777"/>
      <c r="L298" s="3777"/>
      <c r="M298" s="3777"/>
      <c r="N298" s="3777"/>
      <c r="O298" s="3777"/>
      <c r="P298" s="3778"/>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756"/>
      <c r="B300" s="3757"/>
      <c r="C300" s="3757"/>
      <c r="D300" s="3757"/>
      <c r="E300" s="3757"/>
      <c r="F300" s="3757"/>
      <c r="G300" s="3757"/>
      <c r="H300" s="3757"/>
      <c r="I300" s="3757"/>
      <c r="J300" s="3757"/>
      <c r="K300" s="3757"/>
      <c r="L300" s="3757"/>
      <c r="M300" s="3757"/>
      <c r="N300" s="3757"/>
      <c r="O300" s="3757"/>
      <c r="P300" s="3758"/>
      <c r="Q300" s="2175"/>
      <c r="AM300" s="2495">
        <v>300</v>
      </c>
    </row>
    <row r="301" spans="1:39" ht="9.75" customHeight="1">
      <c r="AM301" s="2495">
        <v>301</v>
      </c>
    </row>
    <row r="302" spans="1:39" ht="9.75" customHeight="1" thickBot="1">
      <c r="AM302" s="2495">
        <v>302</v>
      </c>
    </row>
    <row r="303" spans="1:39" s="2109" customFormat="1" ht="15.95" customHeight="1" thickBot="1">
      <c r="A303" s="2132" t="s">
        <v>3284</v>
      </c>
      <c r="B303" s="2133" t="s">
        <v>4846</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4892</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4995</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4908</v>
      </c>
      <c r="D305" s="2299"/>
      <c r="E305" s="2299"/>
      <c r="F305" s="2300"/>
      <c r="G305" s="2300"/>
      <c r="H305" s="2300"/>
      <c r="I305" s="2300"/>
      <c r="J305" s="2301" t="s">
        <v>2881</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3307</v>
      </c>
      <c r="E306" s="2133"/>
      <c r="J306" s="2305">
        <f>MAX(O206,O212+O222+O229)</f>
        <v>8</v>
      </c>
      <c r="K306" s="2306">
        <f>MAX(P206,P212+P222+P229)</f>
        <v>0</v>
      </c>
      <c r="L306" s="2307"/>
      <c r="M306" s="3808" t="str">
        <f>$J$12</f>
        <v>Atlanta Metro</v>
      </c>
      <c r="N306" s="3809"/>
      <c r="O306" s="3809"/>
      <c r="P306" s="3809"/>
      <c r="Q306" s="2144"/>
      <c r="R306" s="2150"/>
      <c r="S306" s="2106"/>
      <c r="T306" s="2106"/>
      <c r="U306" s="2106"/>
      <c r="V306" s="2108"/>
      <c r="W306" s="2108"/>
      <c r="X306" s="2108"/>
      <c r="AM306" s="2494">
        <v>306</v>
      </c>
    </row>
    <row r="307" spans="1:48" s="2109" customFormat="1" ht="15.95" customHeight="1">
      <c r="A307" s="2132"/>
      <c r="B307" s="2133"/>
      <c r="C307" s="2304"/>
      <c r="D307" s="2109" t="s">
        <v>3909</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4919</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4920</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4843</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776" t="s">
        <v>5173</v>
      </c>
      <c r="B312" s="3777"/>
      <c r="C312" s="3777"/>
      <c r="D312" s="3777"/>
      <c r="E312" s="3777"/>
      <c r="F312" s="3777"/>
      <c r="G312" s="3777"/>
      <c r="H312" s="3777"/>
      <c r="I312" s="3777"/>
      <c r="J312" s="3777"/>
      <c r="K312" s="3777"/>
      <c r="L312" s="3777"/>
      <c r="M312" s="3777"/>
      <c r="N312" s="3777"/>
      <c r="O312" s="3777"/>
      <c r="P312" s="3778"/>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756"/>
      <c r="B314" s="3757"/>
      <c r="C314" s="3757"/>
      <c r="D314" s="3757"/>
      <c r="E314" s="3757"/>
      <c r="F314" s="3757"/>
      <c r="G314" s="3757"/>
      <c r="H314" s="3757"/>
      <c r="I314" s="3757"/>
      <c r="J314" s="3757"/>
      <c r="K314" s="3757"/>
      <c r="L314" s="3757"/>
      <c r="M314" s="3757"/>
      <c r="N314" s="3757"/>
      <c r="O314" s="3757"/>
      <c r="P314" s="375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3285</v>
      </c>
      <c r="B317" s="2133" t="s">
        <v>4847</v>
      </c>
      <c r="D317" s="2133"/>
      <c r="E317" s="2133"/>
      <c r="G317" s="2109" t="str">
        <f>$J$12</f>
        <v>Atlanta Metro</v>
      </c>
      <c r="J317" s="2146" t="str">
        <f t="shared" ref="J317" si="10">IF(OR($O317=$M317,$O317=0,$O317=""),"","* * Check Score! * *")</f>
        <v/>
      </c>
      <c r="L317" s="2177" t="str">
        <f>IF(AND(O317&gt;0,$J$12="Atlanta Metro"), "Atlanta Metro is ineligible to score in this section!","")</f>
        <v/>
      </c>
      <c r="M317" s="2112">
        <v>1</v>
      </c>
      <c r="N317" s="2111"/>
      <c r="O317" s="2046"/>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4929</v>
      </c>
      <c r="D319" s="2133"/>
      <c r="E319" s="2133"/>
      <c r="L319" s="3810" t="s">
        <v>4931</v>
      </c>
      <c r="M319" s="3810"/>
      <c r="O319" s="3810" t="s">
        <v>4932</v>
      </c>
      <c r="P319" s="3810"/>
      <c r="Q319" s="2144"/>
      <c r="R319" s="2106"/>
      <c r="S319" s="2106"/>
      <c r="T319" s="2106"/>
      <c r="U319" s="2106"/>
      <c r="V319" s="2106"/>
      <c r="W319" s="2108"/>
      <c r="X319" s="2108"/>
      <c r="AM319" s="2495">
        <v>319</v>
      </c>
    </row>
    <row r="320" spans="1:48" s="2109" customFormat="1" ht="15.95" customHeight="1">
      <c r="A320" s="2132"/>
      <c r="C320" s="2109" t="s">
        <v>4930</v>
      </c>
      <c r="D320" s="2133"/>
      <c r="E320" s="2133"/>
      <c r="F320" s="2109" t="s">
        <v>4119</v>
      </c>
      <c r="I320" s="2109" t="s">
        <v>574</v>
      </c>
      <c r="K320" s="2111" t="s">
        <v>4740</v>
      </c>
      <c r="L320" s="3810"/>
      <c r="M320" s="3810"/>
      <c r="O320" s="3810"/>
      <c r="P320" s="3810"/>
      <c r="Q320" s="2144"/>
      <c r="R320" s="2106"/>
      <c r="S320" s="2106"/>
      <c r="T320" s="2106"/>
      <c r="U320" s="2106"/>
      <c r="V320" s="2106"/>
      <c r="W320" s="2108"/>
      <c r="X320" s="2108"/>
      <c r="AM320" s="2494">
        <v>320</v>
      </c>
      <c r="AV320" s="2304"/>
    </row>
    <row r="321" spans="1:39" s="2109" customFormat="1" ht="15.95" customHeight="1">
      <c r="A321" s="2132"/>
      <c r="B321" s="2292" t="s">
        <v>1839</v>
      </c>
      <c r="C321" s="3804"/>
      <c r="D321" s="3804"/>
      <c r="E321" s="3804"/>
      <c r="F321" s="3804"/>
      <c r="G321" s="3804"/>
      <c r="H321" s="3804"/>
      <c r="I321" s="3805"/>
      <c r="J321" s="3805"/>
      <c r="K321" s="2385"/>
      <c r="L321" s="3806"/>
      <c r="M321" s="3806"/>
      <c r="N321" s="2289"/>
      <c r="O321" s="3807"/>
      <c r="P321" s="3807"/>
      <c r="Q321" s="2144"/>
      <c r="R321" s="2106"/>
      <c r="S321" s="2106"/>
      <c r="T321" s="2106"/>
      <c r="U321" s="2106"/>
      <c r="V321" s="2106"/>
      <c r="W321" s="2108"/>
      <c r="X321" s="2108"/>
      <c r="AM321" s="2495">
        <v>321</v>
      </c>
    </row>
    <row r="322" spans="1:39" s="2109" customFormat="1" ht="15.95" customHeight="1">
      <c r="A322" s="2132"/>
      <c r="B322" s="2151" t="s">
        <v>1841</v>
      </c>
      <c r="C322" s="3796"/>
      <c r="D322" s="3796"/>
      <c r="E322" s="3796"/>
      <c r="F322" s="3796"/>
      <c r="G322" s="3796"/>
      <c r="H322" s="3796"/>
      <c r="I322" s="3797"/>
      <c r="J322" s="3797"/>
      <c r="K322" s="2386"/>
      <c r="L322" s="3798"/>
      <c r="M322" s="3798"/>
      <c r="N322" s="2289"/>
      <c r="O322" s="3799"/>
      <c r="P322" s="3799"/>
      <c r="Q322" s="2144"/>
      <c r="R322" s="2106"/>
      <c r="S322" s="2106"/>
      <c r="T322" s="2106"/>
      <c r="U322" s="2106"/>
      <c r="V322" s="2106"/>
      <c r="W322" s="2108"/>
      <c r="X322" s="2108"/>
      <c r="AM322" s="2494">
        <v>322</v>
      </c>
    </row>
    <row r="323" spans="1:39" s="2109" customFormat="1" ht="15.95" customHeight="1">
      <c r="A323" s="2132"/>
      <c r="B323" s="2151" t="s">
        <v>2326</v>
      </c>
      <c r="C323" s="3796"/>
      <c r="D323" s="3796"/>
      <c r="E323" s="3796"/>
      <c r="F323" s="3796"/>
      <c r="G323" s="3796"/>
      <c r="H323" s="3796"/>
      <c r="I323" s="3797"/>
      <c r="J323" s="3797"/>
      <c r="K323" s="2386"/>
      <c r="L323" s="3798"/>
      <c r="M323" s="3798"/>
      <c r="N323" s="2289"/>
      <c r="O323" s="3799"/>
      <c r="P323" s="3799"/>
      <c r="Q323" s="2144"/>
      <c r="R323" s="2106"/>
      <c r="S323" s="2106"/>
      <c r="T323" s="2106"/>
      <c r="U323" s="2106"/>
      <c r="V323" s="2106"/>
      <c r="W323" s="2108"/>
      <c r="X323" s="2108"/>
      <c r="AM323" s="2494">
        <v>323</v>
      </c>
    </row>
    <row r="324" spans="1:39" s="2109" customFormat="1" ht="15.95" customHeight="1">
      <c r="A324" s="2132"/>
      <c r="B324" s="2151" t="s">
        <v>1149</v>
      </c>
      <c r="C324" s="3800"/>
      <c r="D324" s="3800"/>
      <c r="E324" s="3800"/>
      <c r="F324" s="3800"/>
      <c r="G324" s="3800"/>
      <c r="H324" s="3800"/>
      <c r="I324" s="3801"/>
      <c r="J324" s="3801"/>
      <c r="K324" s="2387"/>
      <c r="L324" s="3802"/>
      <c r="M324" s="3802"/>
      <c r="N324" s="2289"/>
      <c r="O324" s="3803"/>
      <c r="P324" s="3803"/>
      <c r="Q324" s="2144"/>
      <c r="R324" s="2106"/>
      <c r="S324" s="2106"/>
      <c r="T324" s="2106"/>
      <c r="U324" s="2106"/>
      <c r="V324" s="2106"/>
      <c r="W324" s="2108"/>
      <c r="X324" s="2108"/>
      <c r="AM324" s="2494">
        <v>324</v>
      </c>
    </row>
    <row r="325" spans="1:39" ht="15.95" customHeight="1">
      <c r="A325" s="2109"/>
      <c r="B325" s="2131" t="s">
        <v>4843</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776" t="s">
        <v>5174</v>
      </c>
      <c r="B326" s="3777"/>
      <c r="C326" s="3777"/>
      <c r="D326" s="3777"/>
      <c r="E326" s="3777"/>
      <c r="F326" s="3777"/>
      <c r="G326" s="3777"/>
      <c r="H326" s="3777"/>
      <c r="I326" s="3777"/>
      <c r="J326" s="3777"/>
      <c r="K326" s="3777"/>
      <c r="L326" s="3777"/>
      <c r="M326" s="3777"/>
      <c r="N326" s="3777"/>
      <c r="O326" s="3777"/>
      <c r="P326" s="3778"/>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756"/>
      <c r="B328" s="3757"/>
      <c r="C328" s="3757"/>
      <c r="D328" s="3757"/>
      <c r="E328" s="3757"/>
      <c r="F328" s="3757"/>
      <c r="G328" s="3757"/>
      <c r="H328" s="3757"/>
      <c r="I328" s="3757"/>
      <c r="J328" s="3757"/>
      <c r="K328" s="3757"/>
      <c r="L328" s="3757"/>
      <c r="M328" s="3757"/>
      <c r="N328" s="3757"/>
      <c r="O328" s="3757"/>
      <c r="P328" s="375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3288</v>
      </c>
      <c r="B331" s="2223" t="s">
        <v>3905</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4922</v>
      </c>
      <c r="G332" s="2214" t="s">
        <v>3069</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3688</v>
      </c>
      <c r="G333" s="3794" t="str">
        <f>'Part V-Revenues &amp; Expenses'!$O$53</f>
        <v>Income Averaging</v>
      </c>
      <c r="H333" s="3795"/>
      <c r="L333" s="2146" t="str">
        <f t="shared" si="11"/>
        <v/>
      </c>
      <c r="M333" s="2129">
        <v>1</v>
      </c>
      <c r="N333" s="2147"/>
      <c r="O333" s="2002">
        <v>1</v>
      </c>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756"/>
      <c r="B336" s="3757"/>
      <c r="C336" s="3757"/>
      <c r="D336" s="3757"/>
      <c r="E336" s="3757"/>
      <c r="F336" s="3757"/>
      <c r="G336" s="3757"/>
      <c r="H336" s="3757"/>
      <c r="I336" s="3757"/>
      <c r="J336" s="3757"/>
      <c r="K336" s="3757"/>
      <c r="L336" s="3757"/>
      <c r="M336" s="3757"/>
      <c r="N336" s="3757"/>
      <c r="O336" s="3757"/>
      <c r="P336" s="375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3289</v>
      </c>
      <c r="B339" s="2133" t="s">
        <v>2463</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2989</v>
      </c>
      <c r="G340" s="3791" t="s">
        <v>3761</v>
      </c>
      <c r="H340" s="3792"/>
      <c r="I340" s="3792"/>
      <c r="J340" s="3792"/>
      <c r="K340" s="3792"/>
      <c r="L340" s="3793"/>
      <c r="M340" s="2165"/>
      <c r="N340" s="2165"/>
      <c r="O340" s="2165"/>
      <c r="P340" s="2165"/>
      <c r="Q340" s="2109"/>
      <c r="AM340" s="2494">
        <v>340</v>
      </c>
    </row>
    <row r="341" spans="1:39" s="2164" customFormat="1" ht="15.95" customHeight="1">
      <c r="A341" s="2196" t="s">
        <v>1836</v>
      </c>
      <c r="B341" s="2120" t="s">
        <v>3829</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762" t="s">
        <v>3327</v>
      </c>
      <c r="C342" s="3763"/>
      <c r="D342" s="3763"/>
      <c r="E342" s="3763"/>
      <c r="F342" s="3763"/>
      <c r="G342" s="3763"/>
      <c r="H342" s="3763"/>
      <c r="I342" s="3763"/>
      <c r="J342" s="3763"/>
      <c r="K342" s="3763"/>
      <c r="L342" s="3763"/>
      <c r="M342" s="3763"/>
      <c r="N342" s="3763"/>
      <c r="O342" s="3763"/>
      <c r="P342" s="3764"/>
      <c r="Q342" s="2175"/>
      <c r="R342" s="2192"/>
      <c r="S342" s="2192"/>
      <c r="AM342" s="2494">
        <v>342</v>
      </c>
    </row>
    <row r="343" spans="1:39" s="2164" customFormat="1" ht="15.95" customHeight="1">
      <c r="A343" s="2317" t="s">
        <v>1838</v>
      </c>
      <c r="B343" s="2274" t="s">
        <v>3830</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4843</v>
      </c>
      <c r="C344" s="2109"/>
      <c r="D344" s="2109"/>
      <c r="E344" s="2109"/>
      <c r="F344" s="2109"/>
      <c r="G344" s="2109"/>
      <c r="H344" s="2109"/>
      <c r="I344" s="2109"/>
      <c r="J344" s="2109"/>
      <c r="K344" s="2109"/>
      <c r="M344" s="2111"/>
      <c r="O344" s="2122"/>
      <c r="AM344" s="2494">
        <v>344</v>
      </c>
    </row>
    <row r="345" spans="1:39" ht="15.95" customHeight="1">
      <c r="A345" s="3776" t="s">
        <v>5175</v>
      </c>
      <c r="B345" s="3777"/>
      <c r="C345" s="3777"/>
      <c r="D345" s="3777"/>
      <c r="E345" s="3777"/>
      <c r="F345" s="3777"/>
      <c r="G345" s="3777"/>
      <c r="H345" s="3777"/>
      <c r="I345" s="3777"/>
      <c r="J345" s="3777"/>
      <c r="K345" s="3777"/>
      <c r="L345" s="3777"/>
      <c r="M345" s="3777"/>
      <c r="N345" s="3777"/>
      <c r="O345" s="3777"/>
      <c r="P345" s="3778"/>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756"/>
      <c r="B347" s="3757"/>
      <c r="C347" s="3757"/>
      <c r="D347" s="3757"/>
      <c r="E347" s="3757"/>
      <c r="F347" s="3757"/>
      <c r="G347" s="3757"/>
      <c r="H347" s="3757"/>
      <c r="I347" s="3757"/>
      <c r="J347" s="3757"/>
      <c r="K347" s="3757"/>
      <c r="L347" s="3757"/>
      <c r="M347" s="3757"/>
      <c r="N347" s="3757"/>
      <c r="O347" s="3757"/>
      <c r="P347" s="375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3290</v>
      </c>
      <c r="B350" s="2133" t="s">
        <v>4478</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4479</v>
      </c>
      <c r="D351" s="2163"/>
      <c r="E351" s="2213" t="s">
        <v>4490</v>
      </c>
      <c r="F351" s="2163"/>
      <c r="G351" s="2163"/>
      <c r="H351" s="3788"/>
      <c r="I351" s="3789"/>
      <c r="J351" s="3789"/>
      <c r="K351" s="3790"/>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4480</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4843</v>
      </c>
      <c r="C353" s="2109"/>
      <c r="D353" s="2109"/>
      <c r="E353" s="2109"/>
      <c r="F353" s="2109"/>
      <c r="G353" s="2109"/>
      <c r="H353" s="2109"/>
      <c r="I353" s="2109"/>
      <c r="J353" s="2109"/>
      <c r="K353" s="2109"/>
      <c r="M353" s="2111"/>
      <c r="O353" s="2122"/>
      <c r="R353" s="2106"/>
      <c r="S353" s="2106"/>
      <c r="T353" s="2106"/>
      <c r="U353" s="2106"/>
      <c r="V353" s="2106"/>
      <c r="AM353" s="2494">
        <v>353</v>
      </c>
    </row>
    <row r="354" spans="1:39" ht="37.5" customHeight="1">
      <c r="A354" s="3776" t="s">
        <v>5227</v>
      </c>
      <c r="B354" s="3777"/>
      <c r="C354" s="3777"/>
      <c r="D354" s="3777"/>
      <c r="E354" s="3777"/>
      <c r="F354" s="3777"/>
      <c r="G354" s="3777"/>
      <c r="H354" s="3777"/>
      <c r="I354" s="3777"/>
      <c r="J354" s="3777"/>
      <c r="K354" s="3777"/>
      <c r="L354" s="3777"/>
      <c r="M354" s="3777"/>
      <c r="N354" s="3777"/>
      <c r="O354" s="3777"/>
      <c r="P354" s="3778"/>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756"/>
      <c r="B356" s="3757"/>
      <c r="C356" s="3757"/>
      <c r="D356" s="3757"/>
      <c r="E356" s="3757"/>
      <c r="F356" s="3757"/>
      <c r="G356" s="3757"/>
      <c r="H356" s="3757"/>
      <c r="I356" s="3757"/>
      <c r="J356" s="3757"/>
      <c r="K356" s="3757"/>
      <c r="L356" s="3757"/>
      <c r="M356" s="3757"/>
      <c r="N356" s="3757"/>
      <c r="O356" s="3757"/>
      <c r="P356" s="375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3291</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5" customHeight="1">
      <c r="A360" s="2128"/>
      <c r="B360" s="2240" t="s">
        <v>3070</v>
      </c>
      <c r="D360" s="2193"/>
      <c r="E360" s="2193"/>
      <c r="G360" s="2109"/>
      <c r="I360" s="3791" t="s">
        <v>3960</v>
      </c>
      <c r="J360" s="3792"/>
      <c r="K360" s="3792"/>
      <c r="L360" s="3793"/>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4843</v>
      </c>
      <c r="L362" s="2108"/>
      <c r="M362" s="2111"/>
      <c r="N362" s="2129"/>
      <c r="O362" s="2122"/>
      <c r="P362" s="2121"/>
      <c r="AM362" s="2494">
        <v>362</v>
      </c>
    </row>
    <row r="363" spans="1:39" ht="15.95" customHeight="1">
      <c r="A363" s="3776" t="s">
        <v>5176</v>
      </c>
      <c r="B363" s="3777"/>
      <c r="C363" s="3777"/>
      <c r="D363" s="3777"/>
      <c r="E363" s="3777"/>
      <c r="F363" s="3777"/>
      <c r="G363" s="3777"/>
      <c r="H363" s="3777"/>
      <c r="I363" s="3777"/>
      <c r="J363" s="3777"/>
      <c r="K363" s="3777"/>
      <c r="L363" s="3777"/>
      <c r="M363" s="3777"/>
      <c r="N363" s="3777"/>
      <c r="O363" s="3777"/>
      <c r="P363" s="3778"/>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756"/>
      <c r="B365" s="3757"/>
      <c r="C365" s="3757"/>
      <c r="D365" s="3757"/>
      <c r="E365" s="3757"/>
      <c r="F365" s="3757"/>
      <c r="G365" s="3757"/>
      <c r="H365" s="3757"/>
      <c r="I365" s="3757"/>
      <c r="J365" s="3757"/>
      <c r="K365" s="3757"/>
      <c r="L365" s="3757"/>
      <c r="M365" s="3757"/>
      <c r="N365" s="3757"/>
      <c r="O365" s="3757"/>
      <c r="P365" s="375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3292</v>
      </c>
      <c r="B368" s="2133" t="s">
        <v>4848</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4032</v>
      </c>
      <c r="D370" s="2133"/>
      <c r="E370" s="2133"/>
      <c r="L370" s="2211" t="s">
        <v>4892</v>
      </c>
      <c r="M370" s="2112">
        <v>6</v>
      </c>
      <c r="N370" s="2111"/>
      <c r="O370" s="2011"/>
      <c r="P370" s="2229"/>
      <c r="Q370" s="2144"/>
      <c r="R370" s="2150"/>
      <c r="AM370" s="2494">
        <v>370</v>
      </c>
    </row>
    <row r="371" spans="1:39" s="2109" customFormat="1" ht="15.95" customHeight="1">
      <c r="A371" s="2259" t="s">
        <v>1838</v>
      </c>
      <c r="B371" s="2120" t="s">
        <v>4734</v>
      </c>
      <c r="D371" s="2133"/>
      <c r="E371" s="2133"/>
      <c r="F371" s="2234" t="s">
        <v>4942</v>
      </c>
      <c r="K371" s="2149" t="str">
        <f>IF(OR($O371=$M371,$O371=0,$O371=""),"","*CHECK!*")</f>
        <v/>
      </c>
      <c r="L371" s="2211" t="s">
        <v>4892</v>
      </c>
      <c r="M371" s="2112">
        <v>6</v>
      </c>
      <c r="N371" s="2111"/>
      <c r="O371" s="2111"/>
      <c r="P371" s="2238"/>
      <c r="Q371" s="2144"/>
      <c r="R371" s="2150"/>
      <c r="AM371" s="2494">
        <v>371</v>
      </c>
    </row>
    <row r="372" spans="1:39" s="2109" customFormat="1" ht="15.95" customHeight="1">
      <c r="A372" s="2223"/>
      <c r="B372" s="2109" t="s">
        <v>4706</v>
      </c>
      <c r="D372" s="2133"/>
      <c r="E372" s="2133"/>
      <c r="F372" s="2125"/>
      <c r="L372" s="2149"/>
      <c r="M372" s="2112"/>
      <c r="N372" s="2111"/>
      <c r="O372" s="2015"/>
      <c r="P372" s="2156"/>
      <c r="Q372" s="2144"/>
      <c r="R372" s="2150"/>
      <c r="AM372" s="2495">
        <v>372</v>
      </c>
    </row>
    <row r="373" spans="1:39" s="2164" customFormat="1" ht="15.95" customHeight="1">
      <c r="A373" s="2112" t="s">
        <v>697</v>
      </c>
      <c r="B373" s="2274" t="s">
        <v>4034</v>
      </c>
      <c r="C373" s="2266"/>
      <c r="D373" s="2266"/>
      <c r="E373" s="2266"/>
      <c r="F373" s="2266"/>
      <c r="H373" s="2266"/>
      <c r="I373" s="2266"/>
      <c r="J373" s="2127"/>
      <c r="K373" s="2127"/>
      <c r="L373" s="2211" t="s">
        <v>4892</v>
      </c>
      <c r="M373" s="2111">
        <v>4</v>
      </c>
      <c r="N373" s="2231"/>
      <c r="O373" s="2011"/>
      <c r="P373" s="2229"/>
      <c r="Q373" s="2149"/>
      <c r="R373" s="2150"/>
      <c r="AM373" s="2495">
        <v>373</v>
      </c>
    </row>
    <row r="374" spans="1:39" ht="15.95" customHeight="1">
      <c r="A374" s="2112" t="s">
        <v>1957</v>
      </c>
      <c r="B374" s="2120" t="s">
        <v>4033</v>
      </c>
      <c r="E374" s="2193"/>
      <c r="F374" s="2109"/>
      <c r="G374" s="2109"/>
      <c r="H374" s="2109"/>
      <c r="K374" s="2111"/>
      <c r="L374" s="2211" t="s">
        <v>4892</v>
      </c>
      <c r="M374" s="2111">
        <v>4</v>
      </c>
      <c r="N374" s="2231"/>
      <c r="O374" s="2011"/>
      <c r="P374" s="2229"/>
      <c r="Q374" s="2149"/>
      <c r="R374" s="2150"/>
      <c r="AM374" s="2495">
        <v>374</v>
      </c>
    </row>
    <row r="375" spans="1:39" s="2109" customFormat="1" ht="15.95" customHeight="1">
      <c r="A375" s="2112" t="s">
        <v>1609</v>
      </c>
      <c r="B375" s="2120" t="s">
        <v>4849</v>
      </c>
      <c r="D375" s="2133"/>
      <c r="F375" s="2234" t="s">
        <v>4936</v>
      </c>
      <c r="K375" s="2258" t="str">
        <f>IF(AND($O375&gt;0,NOT($F$12="Preservation")),"Ineligible, not Preservation!","")</f>
        <v/>
      </c>
      <c r="L375" s="2211" t="s">
        <v>4892</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4992</v>
      </c>
      <c r="D376" s="2299"/>
      <c r="E376" s="2299"/>
      <c r="F376" s="2300"/>
      <c r="G376" s="2300"/>
      <c r="H376" s="2300"/>
      <c r="I376" s="2300"/>
      <c r="J376" s="2301" t="s">
        <v>2881</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3306</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3908</v>
      </c>
      <c r="E378" s="2133"/>
      <c r="J378" s="2305">
        <f>MAX(O169,O178+O179+O181+O182+O183)</f>
        <v>4.5</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3251</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4993</v>
      </c>
      <c r="F380" s="2234"/>
      <c r="I380" s="2248" t="s">
        <v>4994</v>
      </c>
      <c r="J380" s="2442">
        <f>MAX(J381:J383)</f>
        <v>8</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3307</v>
      </c>
      <c r="F381" s="2234"/>
      <c r="J381" s="2305">
        <f>MAX(O206,O212+O222+O229)</f>
        <v>8</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3909</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3178</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4850</v>
      </c>
      <c r="D384" s="2133"/>
      <c r="G384" s="2145"/>
      <c r="K384" s="2149" t="str">
        <f>IF(OR($O384&lt;=$M384,$O384=0,$O384=""),"","*CHECK!*")</f>
        <v/>
      </c>
      <c r="L384" s="2147" t="s">
        <v>4892</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4923</v>
      </c>
      <c r="H385" s="2324" t="s">
        <v>4935</v>
      </c>
      <c r="I385" s="2112"/>
      <c r="J385" s="2101"/>
      <c r="K385" s="2141"/>
      <c r="L385" s="2211" t="s">
        <v>4892</v>
      </c>
      <c r="M385" s="2214">
        <v>3</v>
      </c>
      <c r="N385" s="2147"/>
      <c r="O385" s="2013"/>
      <c r="P385" s="2238"/>
      <c r="Q385" s="2150"/>
      <c r="V385" s="2140"/>
      <c r="AM385" s="2495">
        <v>385</v>
      </c>
    </row>
    <row r="386" spans="1:39" s="2109" customFormat="1" ht="15" customHeight="1">
      <c r="A386" s="2112"/>
      <c r="B386" s="2154"/>
      <c r="C386" s="2164" t="s">
        <v>4924</v>
      </c>
      <c r="D386" s="2164"/>
      <c r="E386" s="2164"/>
      <c r="H386" s="2234" t="s">
        <v>4934</v>
      </c>
      <c r="I386" s="2164"/>
      <c r="J386" s="2102"/>
      <c r="K386" s="2164"/>
      <c r="L386" s="2211" t="s">
        <v>4892</v>
      </c>
      <c r="M386" s="2214">
        <v>3</v>
      </c>
      <c r="N386" s="2147"/>
      <c r="O386" s="2001"/>
      <c r="P386" s="2241"/>
      <c r="Q386" s="2147"/>
      <c r="V386" s="2140"/>
      <c r="AM386" s="2495">
        <v>386</v>
      </c>
    </row>
    <row r="387" spans="1:39" ht="15.95" customHeight="1">
      <c r="B387" s="2151"/>
      <c r="C387" s="2109" t="s">
        <v>4735</v>
      </c>
      <c r="F387" s="2234" t="s">
        <v>4925</v>
      </c>
      <c r="K387" s="2325" t="str">
        <f>IF(OR($O387="",$O$12="4%"),"","Ineligible!")</f>
        <v/>
      </c>
      <c r="L387" s="2211" t="s">
        <v>4892</v>
      </c>
      <c r="M387" s="2111">
        <v>10</v>
      </c>
      <c r="N387" s="2231"/>
      <c r="O387" s="2050"/>
      <c r="P387" s="2326"/>
      <c r="Q387" s="2149" t="str">
        <f>IF(OR($O387&lt;=$M387,$O387=0,$O387=""),"","*CHECK!*")</f>
        <v/>
      </c>
      <c r="R387" s="2150"/>
      <c r="AM387" s="2494">
        <v>387</v>
      </c>
    </row>
    <row r="388" spans="1:39" ht="15.95" customHeight="1">
      <c r="A388" s="2112"/>
      <c r="B388" s="2108" t="s">
        <v>1132</v>
      </c>
      <c r="D388" s="2108" t="s">
        <v>4739</v>
      </c>
      <c r="E388" s="2109"/>
      <c r="F388" s="2109"/>
      <c r="G388" s="2109" t="s">
        <v>4119</v>
      </c>
      <c r="H388" s="2109"/>
      <c r="I388" s="2109"/>
      <c r="J388" s="2109" t="s">
        <v>574</v>
      </c>
      <c r="L388" s="2129" t="s">
        <v>4740</v>
      </c>
      <c r="M388" s="3783" t="s">
        <v>4744</v>
      </c>
      <c r="N388" s="3783"/>
      <c r="O388" s="3783"/>
      <c r="P388" s="3783"/>
      <c r="Q388" s="2149"/>
      <c r="AM388" s="2494">
        <v>388</v>
      </c>
    </row>
    <row r="389" spans="1:39" ht="15.95" customHeight="1">
      <c r="A389" s="2152" t="s">
        <v>1958</v>
      </c>
      <c r="B389" s="3784"/>
      <c r="C389" s="3784"/>
      <c r="D389" s="3784"/>
      <c r="E389" s="3784"/>
      <c r="F389" s="3784"/>
      <c r="G389" s="3784"/>
      <c r="H389" s="3784"/>
      <c r="I389" s="3784"/>
      <c r="J389" s="3784"/>
      <c r="K389" s="3784"/>
      <c r="L389" s="2047"/>
      <c r="M389" s="3785"/>
      <c r="N389" s="3786"/>
      <c r="O389" s="3786"/>
      <c r="P389" s="3787"/>
      <c r="Q389" s="2149"/>
      <c r="AM389" s="2495">
        <v>389</v>
      </c>
    </row>
    <row r="390" spans="1:39" ht="15.95" customHeight="1">
      <c r="A390" s="2152" t="s">
        <v>1959</v>
      </c>
      <c r="B390" s="3779"/>
      <c r="C390" s="3779"/>
      <c r="D390" s="3779"/>
      <c r="E390" s="3779"/>
      <c r="F390" s="3779"/>
      <c r="G390" s="3779"/>
      <c r="H390" s="3779"/>
      <c r="I390" s="3779"/>
      <c r="J390" s="3779"/>
      <c r="K390" s="3779"/>
      <c r="L390" s="2048"/>
      <c r="M390" s="3780"/>
      <c r="N390" s="3781"/>
      <c r="O390" s="3781"/>
      <c r="P390" s="3782"/>
      <c r="Q390" s="2149"/>
      <c r="AM390" s="2494">
        <v>390</v>
      </c>
    </row>
    <row r="391" spans="1:39" ht="15.95" customHeight="1">
      <c r="A391" s="2152" t="s">
        <v>1608</v>
      </c>
      <c r="B391" s="3779"/>
      <c r="C391" s="3779"/>
      <c r="D391" s="3779"/>
      <c r="E391" s="3779"/>
      <c r="F391" s="3779"/>
      <c r="G391" s="3779"/>
      <c r="H391" s="3779"/>
      <c r="I391" s="3779"/>
      <c r="J391" s="3779"/>
      <c r="K391" s="3779"/>
      <c r="L391" s="2048"/>
      <c r="M391" s="3780"/>
      <c r="N391" s="3781"/>
      <c r="O391" s="3781"/>
      <c r="P391" s="3782"/>
      <c r="Q391" s="2149"/>
      <c r="AM391" s="2494">
        <v>391</v>
      </c>
    </row>
    <row r="392" spans="1:39" ht="15.95" customHeight="1">
      <c r="A392" s="2152" t="s">
        <v>3740</v>
      </c>
      <c r="B392" s="3779"/>
      <c r="C392" s="3779"/>
      <c r="D392" s="3779"/>
      <c r="E392" s="3779"/>
      <c r="F392" s="3779"/>
      <c r="G392" s="3779"/>
      <c r="H392" s="3779"/>
      <c r="I392" s="3779"/>
      <c r="J392" s="3779"/>
      <c r="K392" s="3779"/>
      <c r="L392" s="2048"/>
      <c r="M392" s="3780"/>
      <c r="N392" s="3781"/>
      <c r="O392" s="3781"/>
      <c r="P392" s="3782"/>
      <c r="Q392" s="2149"/>
      <c r="AM392" s="2495">
        <v>392</v>
      </c>
    </row>
    <row r="393" spans="1:39" ht="15.95" customHeight="1">
      <c r="A393" s="2152" t="s">
        <v>4687</v>
      </c>
      <c r="B393" s="3779"/>
      <c r="C393" s="3779"/>
      <c r="D393" s="3779"/>
      <c r="E393" s="3779"/>
      <c r="F393" s="3779"/>
      <c r="G393" s="3779"/>
      <c r="H393" s="3779"/>
      <c r="I393" s="3779"/>
      <c r="J393" s="3779"/>
      <c r="K393" s="3779"/>
      <c r="L393" s="2048"/>
      <c r="M393" s="3780"/>
      <c r="N393" s="3781"/>
      <c r="O393" s="3781"/>
      <c r="P393" s="3782"/>
      <c r="Q393" s="2149"/>
      <c r="AM393" s="2495">
        <v>393</v>
      </c>
    </row>
    <row r="394" spans="1:39" ht="15.95" customHeight="1">
      <c r="A394" s="2152" t="s">
        <v>4688</v>
      </c>
      <c r="B394" s="3779"/>
      <c r="C394" s="3779"/>
      <c r="D394" s="3779"/>
      <c r="E394" s="3779"/>
      <c r="F394" s="3779"/>
      <c r="G394" s="3779"/>
      <c r="H394" s="3779"/>
      <c r="I394" s="3779"/>
      <c r="J394" s="3779"/>
      <c r="K394" s="3779"/>
      <c r="L394" s="2048"/>
      <c r="M394" s="3780"/>
      <c r="N394" s="3781"/>
      <c r="O394" s="3781"/>
      <c r="P394" s="3782"/>
      <c r="Q394" s="2149"/>
      <c r="AM394" s="2495">
        <v>394</v>
      </c>
    </row>
    <row r="395" spans="1:39" ht="15.95" customHeight="1">
      <c r="A395" s="2152" t="s">
        <v>4926</v>
      </c>
      <c r="B395" s="3779"/>
      <c r="C395" s="3779"/>
      <c r="D395" s="3779"/>
      <c r="E395" s="3779"/>
      <c r="F395" s="3779"/>
      <c r="G395" s="3779"/>
      <c r="H395" s="3779"/>
      <c r="I395" s="3779"/>
      <c r="J395" s="3779"/>
      <c r="K395" s="3779"/>
      <c r="L395" s="2048"/>
      <c r="M395" s="3780"/>
      <c r="N395" s="3781"/>
      <c r="O395" s="3781"/>
      <c r="P395" s="3782"/>
      <c r="Q395" s="2149"/>
      <c r="AM395" s="2495">
        <v>395</v>
      </c>
    </row>
    <row r="396" spans="1:39" ht="15.95" customHeight="1">
      <c r="A396" s="2152" t="s">
        <v>4927</v>
      </c>
      <c r="B396" s="3779"/>
      <c r="C396" s="3779"/>
      <c r="D396" s="3779"/>
      <c r="E396" s="3779"/>
      <c r="F396" s="3779"/>
      <c r="G396" s="3779"/>
      <c r="H396" s="3779"/>
      <c r="I396" s="3779"/>
      <c r="J396" s="3779"/>
      <c r="K396" s="3779"/>
      <c r="L396" s="2048"/>
      <c r="M396" s="3780"/>
      <c r="N396" s="3781"/>
      <c r="O396" s="3781"/>
      <c r="P396" s="3782"/>
      <c r="Q396" s="2149"/>
      <c r="AM396" s="2494">
        <v>396</v>
      </c>
    </row>
    <row r="397" spans="1:39" ht="14.25">
      <c r="A397" s="2152" t="s">
        <v>4900</v>
      </c>
      <c r="B397" s="3779"/>
      <c r="C397" s="3779"/>
      <c r="D397" s="3779"/>
      <c r="E397" s="3779"/>
      <c r="F397" s="3779"/>
      <c r="G397" s="3779"/>
      <c r="H397" s="3779"/>
      <c r="I397" s="3779"/>
      <c r="J397" s="3779"/>
      <c r="K397" s="3779"/>
      <c r="L397" s="2048"/>
      <c r="M397" s="3780"/>
      <c r="N397" s="3781"/>
      <c r="O397" s="3781"/>
      <c r="P397" s="3782"/>
      <c r="AM397" s="2495">
        <v>397</v>
      </c>
    </row>
    <row r="398" spans="1:39" ht="15.95" customHeight="1">
      <c r="A398" s="2152" t="s">
        <v>4928</v>
      </c>
      <c r="B398" s="3772"/>
      <c r="C398" s="3772"/>
      <c r="D398" s="3772"/>
      <c r="E398" s="3772"/>
      <c r="F398" s="3772"/>
      <c r="G398" s="3772"/>
      <c r="H398" s="3772"/>
      <c r="I398" s="3772"/>
      <c r="J398" s="3772"/>
      <c r="K398" s="3772"/>
      <c r="L398" s="2049"/>
      <c r="M398" s="3773"/>
      <c r="N398" s="3774"/>
      <c r="O398" s="3774"/>
      <c r="P398" s="3775"/>
      <c r="Q398" s="2149"/>
      <c r="AM398" s="2494">
        <v>398</v>
      </c>
    </row>
    <row r="399" spans="1:39" s="2164" customFormat="1" ht="15.95" customHeight="1">
      <c r="A399" s="2259"/>
      <c r="B399" s="2154"/>
      <c r="C399" s="2164" t="s">
        <v>4736</v>
      </c>
      <c r="D399" s="2266"/>
      <c r="E399" s="2266"/>
      <c r="F399" s="2234" t="s">
        <v>4925</v>
      </c>
      <c r="H399" s="2234" t="s">
        <v>4933</v>
      </c>
      <c r="I399" s="2266"/>
      <c r="J399" s="2101"/>
      <c r="K399" s="2325" t="str">
        <f>IF(OR($O399="",$O$12="4%"),"","Ineligible!")</f>
        <v/>
      </c>
      <c r="L399" s="2211" t="s">
        <v>4892</v>
      </c>
      <c r="M399" s="2111">
        <v>6</v>
      </c>
      <c r="N399" s="2231"/>
      <c r="O399" s="2050"/>
      <c r="P399" s="2326"/>
      <c r="Q399" s="2149" t="str">
        <f>IF(OR($O399&lt;=$M399,$O399=0,$O399=""),"","*CHECK!*")</f>
        <v/>
      </c>
      <c r="AM399" s="2494">
        <v>399</v>
      </c>
    </row>
    <row r="400" spans="1:39" ht="15.95" customHeight="1">
      <c r="A400" s="2109"/>
      <c r="B400" s="2131" t="s">
        <v>4843</v>
      </c>
      <c r="C400" s="2109"/>
      <c r="D400" s="2109"/>
      <c r="E400" s="2109"/>
      <c r="F400" s="2109"/>
      <c r="G400" s="2109"/>
      <c r="H400" s="2109"/>
      <c r="I400" s="2109"/>
      <c r="J400" s="2109"/>
      <c r="K400" s="2109"/>
      <c r="M400" s="2111"/>
      <c r="O400" s="2122"/>
      <c r="AM400" s="2494">
        <v>400</v>
      </c>
    </row>
    <row r="401" spans="1:39" ht="15.95" customHeight="1">
      <c r="A401" s="3776" t="s">
        <v>5168</v>
      </c>
      <c r="B401" s="3777"/>
      <c r="C401" s="3777"/>
      <c r="D401" s="3777"/>
      <c r="E401" s="3777"/>
      <c r="F401" s="3777"/>
      <c r="G401" s="3777"/>
      <c r="H401" s="3777"/>
      <c r="I401" s="3777"/>
      <c r="J401" s="3777"/>
      <c r="K401" s="3777"/>
      <c r="L401" s="3777"/>
      <c r="M401" s="3777"/>
      <c r="N401" s="3777"/>
      <c r="O401" s="3777"/>
      <c r="P401" s="3778"/>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756"/>
      <c r="B403" s="3757"/>
      <c r="C403" s="3757"/>
      <c r="D403" s="3757"/>
      <c r="E403" s="3757"/>
      <c r="F403" s="3757"/>
      <c r="G403" s="3757"/>
      <c r="H403" s="3757"/>
      <c r="I403" s="3757"/>
      <c r="J403" s="3757"/>
      <c r="K403" s="3757"/>
      <c r="L403" s="3757"/>
      <c r="M403" s="3757"/>
      <c r="N403" s="3757"/>
      <c r="O403" s="3757"/>
      <c r="P403" s="375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9" t="s">
        <v>4996</v>
      </c>
      <c r="R404" s="3760"/>
      <c r="S404" s="3760"/>
      <c r="T404" s="3760"/>
      <c r="U404" s="3760"/>
      <c r="V404" s="3760"/>
      <c r="W404" s="3760"/>
      <c r="X404" s="3760"/>
      <c r="Y404" s="3760"/>
      <c r="Z404" s="3760"/>
      <c r="AA404" s="3760"/>
      <c r="AB404" s="3760"/>
      <c r="AC404" s="3760"/>
      <c r="AD404" s="3760"/>
      <c r="AE404" s="3760"/>
      <c r="AF404" s="3760"/>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9"/>
      <c r="R405" s="3760"/>
      <c r="S405" s="3760"/>
      <c r="T405" s="3760"/>
      <c r="U405" s="3760"/>
      <c r="V405" s="3760"/>
      <c r="W405" s="3760"/>
      <c r="X405" s="3760"/>
      <c r="Y405" s="3760"/>
      <c r="Z405" s="3760"/>
      <c r="AA405" s="3760"/>
      <c r="AB405" s="3760"/>
      <c r="AC405" s="3760"/>
      <c r="AD405" s="3760"/>
      <c r="AE405" s="3760"/>
      <c r="AF405" s="3760"/>
      <c r="AM405" s="2495">
        <v>405</v>
      </c>
    </row>
    <row r="406" spans="1:39" ht="15.95" customHeight="1" thickBot="1">
      <c r="Q406" s="3759"/>
      <c r="R406" s="3760"/>
      <c r="S406" s="3760"/>
      <c r="T406" s="3760"/>
      <c r="U406" s="3760"/>
      <c r="V406" s="3760"/>
      <c r="W406" s="3760"/>
      <c r="X406" s="3760"/>
      <c r="Y406" s="3760"/>
      <c r="Z406" s="3760"/>
      <c r="AA406" s="3760"/>
      <c r="AB406" s="3760"/>
      <c r="AC406" s="3760"/>
      <c r="AD406" s="3760"/>
      <c r="AE406" s="3760"/>
      <c r="AF406" s="3760"/>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83.5</v>
      </c>
      <c r="P407" s="2446">
        <f>IF(AND($F$12="New Affordability",$O$12="9%"),$AZ$449,IF(AND($F$12="New Affordability",$O$12="4%"),$BA$449,IF(AND($F$12="Preservation",$O$12="9%"),$BB$449,IF(AND($F$12="Preservation",$O$12="4%"),$BC$449,0))))</f>
        <v>12</v>
      </c>
      <c r="Q407" s="3759"/>
      <c r="R407" s="3760"/>
      <c r="S407" s="3760"/>
      <c r="T407" s="3760"/>
      <c r="U407" s="3760"/>
      <c r="V407" s="3760"/>
      <c r="W407" s="3760"/>
      <c r="X407" s="3760"/>
      <c r="Y407" s="3760"/>
      <c r="Z407" s="3760"/>
      <c r="AA407" s="3760"/>
      <c r="AB407" s="3760"/>
      <c r="AC407" s="3760"/>
      <c r="AD407" s="3760"/>
      <c r="AE407" s="3760"/>
      <c r="AF407" s="3760"/>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9"/>
      <c r="R408" s="3760"/>
      <c r="S408" s="3760"/>
      <c r="T408" s="3760"/>
      <c r="U408" s="3760"/>
      <c r="V408" s="3760"/>
      <c r="W408" s="3760"/>
      <c r="X408" s="3760"/>
      <c r="Y408" s="3760"/>
      <c r="Z408" s="3760"/>
      <c r="AA408" s="3760"/>
      <c r="AB408" s="3760"/>
      <c r="AC408" s="3760"/>
      <c r="AD408" s="3760"/>
      <c r="AE408" s="3760"/>
      <c r="AF408" s="3760"/>
      <c r="AM408" s="2494">
        <v>408</v>
      </c>
    </row>
    <row r="409" spans="1:39" ht="7.5" customHeight="1">
      <c r="F409" s="2141"/>
      <c r="G409" s="2141"/>
      <c r="H409" s="2112"/>
      <c r="I409" s="2112"/>
      <c r="N409" s="2112"/>
      <c r="O409" s="2112"/>
      <c r="P409" s="2122"/>
      <c r="Q409" s="3759"/>
      <c r="R409" s="3760"/>
      <c r="S409" s="3760"/>
      <c r="T409" s="3760"/>
      <c r="U409" s="3760"/>
      <c r="V409" s="3760"/>
      <c r="W409" s="3760"/>
      <c r="X409" s="3760"/>
      <c r="Y409" s="3760"/>
      <c r="Z409" s="3760"/>
      <c r="AA409" s="3760"/>
      <c r="AB409" s="3760"/>
      <c r="AC409" s="3760"/>
      <c r="AD409" s="3760"/>
      <c r="AE409" s="3760"/>
      <c r="AF409" s="3760"/>
      <c r="AM409" s="2494">
        <v>409</v>
      </c>
    </row>
    <row r="410" spans="1:39" ht="33.950000000000003" customHeight="1">
      <c r="A410" s="3761" t="s">
        <v>5030</v>
      </c>
      <c r="B410" s="3761"/>
      <c r="C410" s="3761"/>
      <c r="D410" s="3761"/>
      <c r="E410" s="3761"/>
      <c r="F410" s="3761"/>
      <c r="G410" s="3761"/>
      <c r="H410" s="3761"/>
      <c r="I410" s="3761"/>
      <c r="J410" s="3761"/>
      <c r="K410" s="3761"/>
      <c r="L410" s="3761"/>
      <c r="M410" s="3761"/>
      <c r="N410" s="3761"/>
      <c r="O410" s="3761"/>
      <c r="P410" s="3761"/>
      <c r="Q410" s="3759"/>
      <c r="R410" s="3760"/>
      <c r="S410" s="3760"/>
      <c r="T410" s="3760"/>
      <c r="U410" s="3760"/>
      <c r="V410" s="3760"/>
      <c r="W410" s="3760"/>
      <c r="X410" s="3760"/>
      <c r="Y410" s="3760"/>
      <c r="Z410" s="3760"/>
      <c r="AA410" s="3760"/>
      <c r="AB410" s="3760"/>
      <c r="AC410" s="3760"/>
      <c r="AD410" s="3760"/>
      <c r="AE410" s="3760"/>
      <c r="AF410" s="3760"/>
      <c r="AM410" s="2494">
        <v>410</v>
      </c>
    </row>
    <row r="411" spans="1:39" ht="409.15" customHeight="1">
      <c r="A411" s="3762" t="s">
        <v>5230</v>
      </c>
      <c r="B411" s="3763"/>
      <c r="C411" s="3763"/>
      <c r="D411" s="3763"/>
      <c r="E411" s="3763"/>
      <c r="F411" s="3763"/>
      <c r="G411" s="3763"/>
      <c r="H411" s="3763"/>
      <c r="I411" s="3763"/>
      <c r="J411" s="3763"/>
      <c r="K411" s="3763"/>
      <c r="L411" s="3763"/>
      <c r="M411" s="3763"/>
      <c r="N411" s="3763"/>
      <c r="O411" s="3763"/>
      <c r="P411" s="3764"/>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5" t="s">
        <v>4457</v>
      </c>
      <c r="AW418" s="3765"/>
      <c r="AX418" s="3765"/>
      <c r="AY418" s="3765"/>
      <c r="AZ418" s="3765"/>
      <c r="BA418" s="3765"/>
      <c r="BB418" s="3765"/>
      <c r="BC418" s="3765"/>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6" t="s">
        <v>4458</v>
      </c>
      <c r="AW419" s="3767"/>
      <c r="AX419" s="3767"/>
      <c r="AY419" s="3768"/>
      <c r="AZ419" s="3769" t="s">
        <v>4459</v>
      </c>
      <c r="BA419" s="3770"/>
      <c r="BB419" s="3770"/>
      <c r="BC419" s="377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4037</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9" t="s">
        <v>4763</v>
      </c>
      <c r="AH421" s="3749"/>
      <c r="AI421" s="3749" t="s">
        <v>4402</v>
      </c>
      <c r="AJ421" s="3749"/>
      <c r="AK421" s="3752" t="s">
        <v>4038</v>
      </c>
      <c r="AL421" s="3752"/>
      <c r="AM421" s="3752"/>
      <c r="AN421" s="3752"/>
      <c r="AP421" s="2134"/>
      <c r="AQ421" s="2133" t="s">
        <v>4037</v>
      </c>
      <c r="AR421" s="2134"/>
      <c r="AS421" s="2134"/>
      <c r="AT421" s="2134"/>
      <c r="AV421" s="3753" t="s">
        <v>4763</v>
      </c>
      <c r="AW421" s="3754"/>
      <c r="AX421" s="3753" t="s">
        <v>4402</v>
      </c>
      <c r="AY421" s="3754"/>
      <c r="AZ421" s="3755" t="s">
        <v>4763</v>
      </c>
      <c r="BA421" s="3755"/>
      <c r="BB421" s="3747" t="s">
        <v>4402</v>
      </c>
      <c r="BC421" s="374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4745</v>
      </c>
      <c r="AI422" s="2465">
        <v>0.09</v>
      </c>
      <c r="AJ422" s="2465" t="s">
        <v>4745</v>
      </c>
      <c r="AK422" s="3749" t="str">
        <f>'Part I-Project Identification'!F12</f>
        <v>9% Credit Competitive Round only</v>
      </c>
      <c r="AL422" s="3749"/>
      <c r="AM422" s="3749"/>
      <c r="AN422" s="3749"/>
      <c r="AQ422" s="2109"/>
      <c r="AV422" s="2328">
        <v>0.09</v>
      </c>
      <c r="AW422" s="2328" t="s">
        <v>4745</v>
      </c>
      <c r="AX422" s="2328">
        <v>0.09</v>
      </c>
      <c r="AY422" s="2328" t="s">
        <v>4745</v>
      </c>
      <c r="AZ422" s="2329">
        <v>0.09</v>
      </c>
      <c r="BA422" s="2329" t="s">
        <v>4745</v>
      </c>
      <c r="BB422" s="2329">
        <v>0.09</v>
      </c>
      <c r="BC422" s="2329" t="s">
        <v>4745</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3679</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3679</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4444</v>
      </c>
      <c r="AC425" s="2028"/>
      <c r="AD425" s="2028"/>
      <c r="AE425" s="2028"/>
      <c r="AF425" s="2028"/>
      <c r="AG425" s="2467">
        <f>$M$37</f>
        <v>2</v>
      </c>
      <c r="AH425" s="2467">
        <f>$M$37</f>
        <v>2</v>
      </c>
      <c r="AI425" s="2467">
        <f>$M$37</f>
        <v>2</v>
      </c>
      <c r="AJ425" s="2467">
        <f>$M$37</f>
        <v>2</v>
      </c>
      <c r="AK425" s="1997" t="s">
        <v>4039</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4444</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3310</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3310</v>
      </c>
      <c r="AR426" s="2344"/>
      <c r="AS426" s="2344"/>
      <c r="AT426" s="2344"/>
      <c r="AU426" s="2344"/>
      <c r="AV426" s="2347">
        <f>$O$55</f>
        <v>3</v>
      </c>
      <c r="AW426" s="2348">
        <f>$O$55</f>
        <v>3</v>
      </c>
      <c r="AX426" s="2349">
        <f>$O$55</f>
        <v>3</v>
      </c>
      <c r="AY426" s="2350">
        <f>$O$55</f>
        <v>3</v>
      </c>
      <c r="AZ426" s="2351">
        <f>$P$55</f>
        <v>0</v>
      </c>
      <c r="BA426" s="2352">
        <f>$P$55</f>
        <v>0</v>
      </c>
      <c r="BB426" s="2353">
        <f>$P$55</f>
        <v>0</v>
      </c>
      <c r="BC426" s="2354">
        <f>$P$55</f>
        <v>0</v>
      </c>
    </row>
    <row r="427" spans="2:58">
      <c r="B427" s="2028"/>
      <c r="C427" s="2031" t="s">
        <v>1974</v>
      </c>
      <c r="D427" s="2028"/>
      <c r="E427" s="2028"/>
      <c r="F427" s="2028"/>
      <c r="G427" s="2028"/>
      <c r="H427" s="2028"/>
      <c r="I427" s="2028"/>
      <c r="J427" s="2032" t="s">
        <v>2955</v>
      </c>
      <c r="K427" s="2028"/>
      <c r="L427" s="2028"/>
      <c r="M427" s="2028"/>
      <c r="N427" s="2017"/>
      <c r="O427" s="2032" t="s">
        <v>3168</v>
      </c>
      <c r="P427" s="2030"/>
      <c r="Q427" s="2028"/>
      <c r="R427" s="2028"/>
      <c r="S427" s="2028"/>
      <c r="AA427" s="2466" t="s">
        <v>495</v>
      </c>
      <c r="AB427" s="1998" t="s">
        <v>4031</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4031</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2956</v>
      </c>
      <c r="K428" s="2028"/>
      <c r="L428" s="2028"/>
      <c r="M428" s="2028"/>
      <c r="N428" s="2017"/>
      <c r="O428" s="2030"/>
      <c r="P428" s="2030"/>
      <c r="Q428" s="2028"/>
      <c r="R428" s="2028"/>
      <c r="S428" s="2028"/>
      <c r="AA428" s="2466" t="s">
        <v>719</v>
      </c>
      <c r="AB428" s="1998" t="s">
        <v>4445</v>
      </c>
      <c r="AC428" s="2028"/>
      <c r="AD428" s="2028"/>
      <c r="AE428" s="2028"/>
      <c r="AF428" s="2028"/>
      <c r="AG428" s="2467">
        <f>$M$100</f>
        <v>5</v>
      </c>
      <c r="AH428" s="2467">
        <f>$M$100</f>
        <v>5</v>
      </c>
      <c r="AI428" s="2467">
        <f>$M$100</f>
        <v>5</v>
      </c>
      <c r="AJ428" s="2467">
        <f>$M$100</f>
        <v>5</v>
      </c>
      <c r="AK428" s="3750" t="s">
        <v>4456</v>
      </c>
      <c r="AL428" s="3750"/>
      <c r="AM428" s="3750"/>
      <c r="AN428" s="3750"/>
      <c r="AP428" s="2147" t="s">
        <v>719</v>
      </c>
      <c r="AQ428" s="2338" t="s">
        <v>4445</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2940</v>
      </c>
      <c r="K429" s="2028"/>
      <c r="L429" s="2028"/>
      <c r="M429" s="2028"/>
      <c r="N429" s="2017"/>
      <c r="O429" s="2030">
        <v>2</v>
      </c>
      <c r="P429" s="2030"/>
      <c r="Q429" s="2028"/>
      <c r="R429" s="2028"/>
      <c r="S429" s="2028"/>
      <c r="AA429" s="2466" t="s">
        <v>280</v>
      </c>
      <c r="AB429" s="2028" t="s">
        <v>4832</v>
      </c>
      <c r="AC429" s="2028"/>
      <c r="AD429" s="2028"/>
      <c r="AE429" s="2028"/>
      <c r="AF429" s="2028"/>
      <c r="AG429" s="2467">
        <f>$M$117</f>
        <v>13</v>
      </c>
      <c r="AH429" s="2467">
        <f>$M$117</f>
        <v>13</v>
      </c>
      <c r="AI429" s="2467">
        <f>$M$117</f>
        <v>13</v>
      </c>
      <c r="AJ429" s="2467">
        <f>$M$117</f>
        <v>13</v>
      </c>
      <c r="AK429" s="3750"/>
      <c r="AL429" s="3750"/>
      <c r="AM429" s="3750"/>
      <c r="AN429" s="3750"/>
      <c r="AP429" s="2147" t="s">
        <v>280</v>
      </c>
      <c r="AQ429" s="2338" t="s">
        <v>4832</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2941</v>
      </c>
      <c r="K430" s="2028"/>
      <c r="L430" s="2028"/>
      <c r="M430" s="2028"/>
      <c r="N430" s="2017"/>
      <c r="O430" s="2030">
        <v>2</v>
      </c>
      <c r="P430" s="2030"/>
      <c r="Q430" s="2028"/>
      <c r="R430" s="2028"/>
      <c r="S430" s="2028"/>
      <c r="AA430" s="2466" t="s">
        <v>400</v>
      </c>
      <c r="AB430" s="1998" t="s">
        <v>4027</v>
      </c>
      <c r="AC430" s="2028"/>
      <c r="AD430" s="2028"/>
      <c r="AE430" s="2028"/>
      <c r="AF430" s="2028"/>
      <c r="AG430" s="2467">
        <f>$M$141</f>
        <v>3</v>
      </c>
      <c r="AH430" s="2467">
        <f>$M$141</f>
        <v>3</v>
      </c>
      <c r="AI430" s="2467">
        <f>$M$141</f>
        <v>3</v>
      </c>
      <c r="AJ430" s="2467">
        <f>$M$141</f>
        <v>3</v>
      </c>
      <c r="AK430" s="1998" t="s">
        <v>4451</v>
      </c>
      <c r="AL430" s="1998"/>
      <c r="AM430" s="2012"/>
      <c r="AN430" s="2012"/>
      <c r="AP430" s="2147" t="s">
        <v>400</v>
      </c>
      <c r="AQ430" s="2338" t="s">
        <v>4027</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1" t="s">
        <v>1405</v>
      </c>
      <c r="H431" s="3751"/>
      <c r="I431" s="3751"/>
      <c r="J431" s="2028" t="s">
        <v>2942</v>
      </c>
      <c r="K431" s="2028"/>
      <c r="L431" s="2028"/>
      <c r="M431" s="2028"/>
      <c r="N431" s="2017"/>
      <c r="O431" s="2030">
        <v>2</v>
      </c>
      <c r="P431" s="2030"/>
      <c r="Q431" s="2028"/>
      <c r="R431" s="2028"/>
      <c r="S431" s="2028"/>
      <c r="AA431" s="2466" t="s">
        <v>342</v>
      </c>
      <c r="AB431" s="1998" t="s">
        <v>4833</v>
      </c>
      <c r="AC431" s="2028"/>
      <c r="AD431" s="2028"/>
      <c r="AE431" s="2028"/>
      <c r="AF431" s="2028"/>
      <c r="AG431" s="2467">
        <f>$M$152</f>
        <v>2</v>
      </c>
      <c r="AH431" s="2467">
        <f>$M$152</f>
        <v>2</v>
      </c>
      <c r="AI431" s="2467">
        <f>$M$152</f>
        <v>2</v>
      </c>
      <c r="AJ431" s="2467">
        <f>$M$152</f>
        <v>2</v>
      </c>
      <c r="AK431" s="1998" t="s">
        <v>3223</v>
      </c>
      <c r="AL431" s="1998"/>
      <c r="AM431" s="2012"/>
      <c r="AN431" s="2012"/>
      <c r="AP431" s="2147" t="s">
        <v>342</v>
      </c>
      <c r="AQ431" s="2338" t="s">
        <v>4833</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3932</v>
      </c>
      <c r="H432" s="2028" t="s">
        <v>3933</v>
      </c>
      <c r="I432" s="2033" t="s">
        <v>3931</v>
      </c>
      <c r="J432" s="2028" t="s">
        <v>2943</v>
      </c>
      <c r="K432" s="2028"/>
      <c r="L432" s="2033"/>
      <c r="M432" s="2028"/>
      <c r="N432" s="2017"/>
      <c r="O432" s="2030">
        <v>2</v>
      </c>
      <c r="P432" s="2030"/>
      <c r="Q432" s="2028"/>
      <c r="R432" s="2028"/>
      <c r="S432" s="2028"/>
      <c r="AA432" s="2466" t="s">
        <v>343</v>
      </c>
      <c r="AB432" s="1998" t="s">
        <v>3306</v>
      </c>
      <c r="AC432" s="2028"/>
      <c r="AD432" s="2028"/>
      <c r="AE432" s="2028"/>
      <c r="AF432" s="2028"/>
      <c r="AG432" s="2467">
        <f>$M$160</f>
        <v>20</v>
      </c>
      <c r="AH432" s="2467">
        <f>$M$160</f>
        <v>20</v>
      </c>
      <c r="AI432" s="2467"/>
      <c r="AJ432" s="2467"/>
      <c r="AK432" s="1998" t="s">
        <v>4043</v>
      </c>
      <c r="AL432" s="1998"/>
      <c r="AM432" s="2012"/>
      <c r="AN432" s="2012"/>
      <c r="AP432" s="2147" t="s">
        <v>343</v>
      </c>
      <c r="AQ432" s="2338" t="s">
        <v>3306</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3166</v>
      </c>
      <c r="K433" s="2028"/>
      <c r="L433" s="2035"/>
      <c r="M433" s="2028"/>
      <c r="N433" s="2017"/>
      <c r="O433" s="2030">
        <v>2</v>
      </c>
      <c r="P433" s="2030"/>
      <c r="Q433" s="2028"/>
      <c r="R433" s="2028"/>
      <c r="S433" s="2028"/>
      <c r="AA433" s="2466" t="s">
        <v>344</v>
      </c>
      <c r="AB433" s="1998" t="s">
        <v>3908</v>
      </c>
      <c r="AC433" s="2028"/>
      <c r="AD433" s="2028"/>
      <c r="AE433" s="2028"/>
      <c r="AF433" s="2028"/>
      <c r="AG433" s="2470">
        <f>$M$169</f>
        <v>6</v>
      </c>
      <c r="AH433" s="2470">
        <f>$M$169</f>
        <v>6</v>
      </c>
      <c r="AI433" s="2470"/>
      <c r="AJ433" s="2470"/>
      <c r="AK433" s="1998" t="s">
        <v>4406</v>
      </c>
      <c r="AL433" s="1998"/>
      <c r="AM433" s="2012" t="s">
        <v>4746</v>
      </c>
      <c r="AN433" s="2012" t="str">
        <f>IF('Part VII-Threshold Criteria'!$P$227="Agree","Yes","")</f>
        <v/>
      </c>
      <c r="AP433" s="2147" t="s">
        <v>344</v>
      </c>
      <c r="AQ433" s="2338" t="s">
        <v>3908</v>
      </c>
      <c r="AR433" s="2344"/>
      <c r="AS433" s="2344"/>
      <c r="AT433" s="2344"/>
      <c r="AU433" s="2344"/>
      <c r="AV433" s="2347">
        <f>$O$169</f>
        <v>4.5</v>
      </c>
      <c r="AW433" s="2348">
        <f>$O$169</f>
        <v>4.5</v>
      </c>
      <c r="AX433" s="2357"/>
      <c r="AY433" s="2358"/>
      <c r="AZ433" s="2351">
        <f>$P$169</f>
        <v>0</v>
      </c>
      <c r="BA433" s="2352">
        <f>$P$169</f>
        <v>0</v>
      </c>
      <c r="BB433" s="2359"/>
      <c r="BC433" s="2360"/>
    </row>
    <row r="434" spans="1:55">
      <c r="B434" s="2028"/>
      <c r="C434" s="2034"/>
      <c r="D434" s="2028"/>
      <c r="E434" s="2028"/>
      <c r="F434" s="2028"/>
      <c r="G434" s="2035" t="s">
        <v>435</v>
      </c>
      <c r="H434" s="2017" t="s">
        <v>3935</v>
      </c>
      <c r="I434" s="2033" t="s">
        <v>2447</v>
      </c>
      <c r="J434" s="2028" t="s">
        <v>2944</v>
      </c>
      <c r="K434" s="2028"/>
      <c r="L434" s="2034"/>
      <c r="M434" s="2028"/>
      <c r="N434" s="2017"/>
      <c r="O434" s="2030">
        <v>1</v>
      </c>
      <c r="P434" s="2030"/>
      <c r="Q434" s="2028"/>
      <c r="R434" s="2028"/>
      <c r="S434" s="2028"/>
      <c r="AA434" s="2466" t="s">
        <v>1602</v>
      </c>
      <c r="AB434" s="1998" t="s">
        <v>3251</v>
      </c>
      <c r="AC434" s="2028"/>
      <c r="AD434" s="2028"/>
      <c r="AE434" s="2028"/>
      <c r="AF434" s="2028"/>
      <c r="AG434" s="2467">
        <f>$M$190</f>
        <v>3</v>
      </c>
      <c r="AH434" s="2467">
        <f>$M$190</f>
        <v>3</v>
      </c>
      <c r="AI434" s="2467"/>
      <c r="AJ434" s="2467"/>
      <c r="AK434" s="2028"/>
      <c r="AL434" s="1998"/>
      <c r="AM434" s="2012" t="s">
        <v>4042</v>
      </c>
      <c r="AN434" s="2012" t="str">
        <f>IF('Part VII-Threshold Criteria'!$P$230="Agree","Yes","")</f>
        <v/>
      </c>
      <c r="AP434" s="2147" t="s">
        <v>1602</v>
      </c>
      <c r="AQ434" s="2338" t="s">
        <v>3251</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3934</v>
      </c>
      <c r="J435" s="2028" t="s">
        <v>2945</v>
      </c>
      <c r="K435" s="2028"/>
      <c r="L435" s="2034"/>
      <c r="M435" s="2028"/>
      <c r="N435" s="2017"/>
      <c r="O435" s="2030">
        <v>1</v>
      </c>
      <c r="P435" s="2030"/>
      <c r="Q435" s="2028"/>
      <c r="R435" s="2028"/>
      <c r="S435" s="2028"/>
      <c r="AA435" s="2466" t="s">
        <v>3282</v>
      </c>
      <c r="AB435" s="1998" t="s">
        <v>3307</v>
      </c>
      <c r="AC435" s="2028"/>
      <c r="AD435" s="2028"/>
      <c r="AE435" s="2028"/>
      <c r="AF435" s="2028"/>
      <c r="AG435" s="2467">
        <f>$M$206</f>
        <v>10</v>
      </c>
      <c r="AH435" s="2467">
        <f>$M$206</f>
        <v>10</v>
      </c>
      <c r="AI435" s="2467"/>
      <c r="AJ435" s="2467"/>
      <c r="AK435" s="1998"/>
      <c r="AL435" s="1998"/>
      <c r="AM435" s="2012" t="s">
        <v>4452</v>
      </c>
      <c r="AN435" s="2012" t="str">
        <f>IF('Part VII-Threshold Criteria'!$P$231="Agree","Yes","")</f>
        <v/>
      </c>
      <c r="AP435" s="2147" t="s">
        <v>3282</v>
      </c>
      <c r="AQ435" s="2338" t="s">
        <v>3307</v>
      </c>
      <c r="AR435" s="2344"/>
      <c r="AS435" s="2344"/>
      <c r="AT435" s="2344"/>
      <c r="AU435" s="2344"/>
      <c r="AV435" s="2347">
        <f>$O$206</f>
        <v>8</v>
      </c>
      <c r="AW435" s="2348">
        <f>$O$206</f>
        <v>8</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2447</v>
      </c>
      <c r="J436" s="2028" t="s">
        <v>2946</v>
      </c>
      <c r="K436" s="2028"/>
      <c r="L436" s="2034"/>
      <c r="M436" s="2028"/>
      <c r="N436" s="2017"/>
      <c r="O436" s="2030">
        <v>1</v>
      </c>
      <c r="P436" s="2030"/>
      <c r="Q436" s="2028"/>
      <c r="R436" s="2028"/>
      <c r="S436" s="2028"/>
      <c r="AA436" s="2466" t="s">
        <v>2075</v>
      </c>
      <c r="AB436" s="1998" t="s">
        <v>3909</v>
      </c>
      <c r="AC436" s="2028"/>
      <c r="AD436" s="2028"/>
      <c r="AE436" s="2028"/>
      <c r="AF436" s="2028"/>
      <c r="AG436" s="2467">
        <f>$M$238</f>
        <v>10</v>
      </c>
      <c r="AH436" s="2467">
        <f>$M$238</f>
        <v>10</v>
      </c>
      <c r="AI436" s="2467"/>
      <c r="AJ436" s="2467"/>
      <c r="AK436" s="1998"/>
      <c r="AL436" s="1998"/>
      <c r="AM436" s="2012" t="s">
        <v>4453</v>
      </c>
      <c r="AN436" s="2012" t="str">
        <f>IF('Part VII-Threshold Criteria'!$P$232="Agree","Yes","")</f>
        <v/>
      </c>
      <c r="AP436" s="2147" t="s">
        <v>2075</v>
      </c>
      <c r="AQ436" s="2338" t="s">
        <v>3909</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3934</v>
      </c>
      <c r="J437" s="2028" t="s">
        <v>3167</v>
      </c>
      <c r="K437" s="2028"/>
      <c r="L437" s="2034"/>
      <c r="M437" s="2028"/>
      <c r="N437" s="2017"/>
      <c r="O437" s="2030">
        <v>1</v>
      </c>
      <c r="P437" s="2030"/>
      <c r="Q437" s="2028"/>
      <c r="R437" s="2028"/>
      <c r="S437" s="2028"/>
      <c r="AA437" s="2466" t="s">
        <v>3282</v>
      </c>
      <c r="AB437" s="1998" t="s">
        <v>3178</v>
      </c>
      <c r="AC437" s="2028"/>
      <c r="AD437" s="2028"/>
      <c r="AE437" s="2028"/>
      <c r="AF437" s="2028"/>
      <c r="AG437" s="2467">
        <f>$M$265</f>
        <v>10</v>
      </c>
      <c r="AH437" s="2467">
        <f>$M$265</f>
        <v>10</v>
      </c>
      <c r="AI437" s="2467"/>
      <c r="AJ437" s="2467"/>
      <c r="AK437" s="1998" t="s">
        <v>2437</v>
      </c>
      <c r="AL437" s="1998"/>
      <c r="AM437" s="2012"/>
      <c r="AN437" s="2012"/>
      <c r="AP437" s="2147" t="s">
        <v>3282</v>
      </c>
      <c r="AQ437" s="2338" t="s">
        <v>3178</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3189</v>
      </c>
      <c r="H438" s="2017">
        <v>2019</v>
      </c>
      <c r="I438" s="2017" t="s">
        <v>3934</v>
      </c>
      <c r="J438" s="2028" t="s">
        <v>2954</v>
      </c>
      <c r="K438" s="2028"/>
      <c r="L438" s="2034"/>
      <c r="M438" s="2028"/>
      <c r="N438" s="2017"/>
      <c r="O438" s="2030">
        <v>1</v>
      </c>
      <c r="P438" s="2030"/>
      <c r="Q438" s="2028"/>
      <c r="R438" s="2028"/>
      <c r="S438" s="2028"/>
      <c r="AA438" s="2466" t="s">
        <v>3283</v>
      </c>
      <c r="AB438" s="1998" t="s">
        <v>4029</v>
      </c>
      <c r="AC438" s="2028"/>
      <c r="AD438" s="2028"/>
      <c r="AE438" s="2028"/>
      <c r="AF438" s="2028"/>
      <c r="AG438" s="2467">
        <f>$M$274</f>
        <v>4</v>
      </c>
      <c r="AH438" s="2467">
        <f>$M$274</f>
        <v>4</v>
      </c>
      <c r="AI438" s="2467"/>
      <c r="AJ438" s="2467"/>
      <c r="AK438" s="1998" t="s">
        <v>4454</v>
      </c>
      <c r="AL438" s="1998"/>
      <c r="AM438" s="2012"/>
      <c r="AN438" s="2012"/>
      <c r="AP438" s="2147" t="s">
        <v>3283</v>
      </c>
      <c r="AQ438" s="2338" t="s">
        <v>4029</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2447</v>
      </c>
      <c r="J439" s="2028" t="s">
        <v>2947</v>
      </c>
      <c r="K439" s="2028"/>
      <c r="L439" s="2034"/>
      <c r="M439" s="2028"/>
      <c r="N439" s="2017"/>
      <c r="O439" s="2030">
        <v>1</v>
      </c>
      <c r="P439" s="2030"/>
      <c r="Q439" s="2028"/>
      <c r="R439" s="2028"/>
      <c r="S439" s="2028"/>
      <c r="AA439" s="2466" t="s">
        <v>3281</v>
      </c>
      <c r="AB439" s="1998" t="s">
        <v>3913</v>
      </c>
      <c r="AC439" s="2028"/>
      <c r="AD439" s="2028"/>
      <c r="AE439" s="2028"/>
      <c r="AF439" s="2028"/>
      <c r="AG439" s="2467">
        <f>$M$286</f>
        <v>5</v>
      </c>
      <c r="AH439" s="2467"/>
      <c r="AI439" s="2467"/>
      <c r="AJ439" s="2467"/>
      <c r="AK439" s="1998" t="s">
        <v>4455</v>
      </c>
      <c r="AL439" s="1998"/>
      <c r="AM439" s="2012"/>
      <c r="AN439" s="2468" t="str">
        <f>'Part II-Sources of Funds'!$L$14</f>
        <v>No</v>
      </c>
      <c r="AP439" s="2147" t="s">
        <v>3281</v>
      </c>
      <c r="AQ439" s="2338" t="s">
        <v>3913</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3934</v>
      </c>
      <c r="J440" s="2028" t="s">
        <v>2948</v>
      </c>
      <c r="K440" s="2028"/>
      <c r="L440" s="2034"/>
      <c r="M440" s="2028"/>
      <c r="N440" s="2017"/>
      <c r="O440" s="2030">
        <v>1</v>
      </c>
      <c r="P440" s="2030"/>
      <c r="Q440" s="2028"/>
      <c r="R440" s="2028"/>
      <c r="S440" s="2028"/>
      <c r="AA440" s="2466" t="s">
        <v>3284</v>
      </c>
      <c r="AB440" s="2028" t="s">
        <v>4834</v>
      </c>
      <c r="AC440" s="2028"/>
      <c r="AD440" s="2028"/>
      <c r="AE440" s="2028"/>
      <c r="AF440" s="2028"/>
      <c r="AG440" s="2467">
        <f>$M$303</f>
        <v>10</v>
      </c>
      <c r="AH440" s="2467"/>
      <c r="AI440" s="2467"/>
      <c r="AJ440" s="2467"/>
      <c r="AK440" s="2028"/>
      <c r="AL440" s="2028"/>
      <c r="AM440" s="2017"/>
      <c r="AN440" s="2028"/>
      <c r="AP440" s="2147" t="s">
        <v>3284</v>
      </c>
      <c r="AQ440" s="2338" t="s">
        <v>4834</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3935</v>
      </c>
      <c r="I441" s="2033" t="s">
        <v>2447</v>
      </c>
      <c r="J441" s="2028" t="s">
        <v>2949</v>
      </c>
      <c r="K441" s="2028"/>
      <c r="L441" s="2034"/>
      <c r="M441" s="2028"/>
      <c r="N441" s="2017"/>
      <c r="O441" s="2030">
        <v>1</v>
      </c>
      <c r="P441" s="2030"/>
      <c r="Q441" s="2028"/>
      <c r="R441" s="2028"/>
      <c r="S441" s="2028"/>
      <c r="AA441" s="2466" t="s">
        <v>3285</v>
      </c>
      <c r="AB441" s="2028" t="s">
        <v>4835</v>
      </c>
      <c r="AC441" s="2028"/>
      <c r="AD441" s="2028"/>
      <c r="AE441" s="2028"/>
      <c r="AF441" s="2028"/>
      <c r="AG441" s="2467">
        <f>$M$317</f>
        <v>1</v>
      </c>
      <c r="AH441" s="2467"/>
      <c r="AI441" s="2467"/>
      <c r="AJ441" s="2467"/>
      <c r="AK441" s="2028"/>
      <c r="AL441" s="2028"/>
      <c r="AM441" s="2017"/>
      <c r="AN441" s="2028"/>
      <c r="AP441" s="2147" t="s">
        <v>3285</v>
      </c>
      <c r="AQ441" s="2338" t="s">
        <v>4835</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3935</v>
      </c>
      <c r="I442" s="2033" t="s">
        <v>2447</v>
      </c>
      <c r="J442" s="2028" t="s">
        <v>2950</v>
      </c>
      <c r="K442" s="2028"/>
      <c r="L442" s="2034"/>
      <c r="M442" s="2028"/>
      <c r="N442" s="2017"/>
      <c r="O442" s="2030">
        <v>1</v>
      </c>
      <c r="P442" s="2030"/>
      <c r="Q442" s="2028"/>
      <c r="R442" s="2028"/>
      <c r="S442" s="2028"/>
      <c r="AA442" s="2466" t="s">
        <v>3288</v>
      </c>
      <c r="AB442" s="1998" t="s">
        <v>4028</v>
      </c>
      <c r="AC442" s="2028"/>
      <c r="AD442" s="2028"/>
      <c r="AE442" s="2028"/>
      <c r="AF442" s="2028"/>
      <c r="AG442" s="2467">
        <f>$M$331</f>
        <v>1</v>
      </c>
      <c r="AH442" s="2467"/>
      <c r="AI442" s="2467"/>
      <c r="AJ442" s="2467"/>
      <c r="AK442" s="2028"/>
      <c r="AL442" s="2028"/>
      <c r="AM442" s="2017"/>
      <c r="AN442" s="2028"/>
      <c r="AP442" s="2147" t="s">
        <v>3288</v>
      </c>
      <c r="AQ442" s="2338" t="s">
        <v>4028</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3934</v>
      </c>
      <c r="J443" s="2028" t="s">
        <v>2953</v>
      </c>
      <c r="K443" s="2028"/>
      <c r="L443" s="2034"/>
      <c r="M443" s="2028"/>
      <c r="N443" s="2017"/>
      <c r="O443" s="2030">
        <v>1</v>
      </c>
      <c r="P443" s="2030"/>
      <c r="Q443" s="2028"/>
      <c r="R443" s="2028"/>
      <c r="S443" s="2028"/>
      <c r="AA443" s="2466" t="s">
        <v>3289</v>
      </c>
      <c r="AB443" s="1998" t="s">
        <v>3311</v>
      </c>
      <c r="AC443" s="2028"/>
      <c r="AD443" s="2028"/>
      <c r="AE443" s="2028"/>
      <c r="AF443" s="2028"/>
      <c r="AG443" s="2467">
        <f>$M$339</f>
        <v>2</v>
      </c>
      <c r="AH443" s="2467"/>
      <c r="AI443" s="2467"/>
      <c r="AJ443" s="2467"/>
      <c r="AK443" s="2028"/>
      <c r="AL443" s="2028"/>
      <c r="AM443" s="2017"/>
      <c r="AN443" s="2028"/>
      <c r="AP443" s="2147" t="s">
        <v>3289</v>
      </c>
      <c r="AQ443" s="2338" t="s">
        <v>3311</v>
      </c>
      <c r="AR443" s="2344"/>
      <c r="AS443" s="2344"/>
      <c r="AT443" s="2344"/>
      <c r="AU443" s="2344"/>
      <c r="AV443" s="2339">
        <f>$O$339</f>
        <v>0</v>
      </c>
      <c r="AW443" s="2369"/>
      <c r="AX443" s="2361"/>
      <c r="AY443" s="2362"/>
      <c r="AZ443" s="2341">
        <f>$P$339</f>
        <v>0</v>
      </c>
      <c r="BA443" s="2364"/>
      <c r="BB443" s="2363"/>
      <c r="BC443" s="2364"/>
    </row>
    <row r="444" spans="1:55">
      <c r="A444" s="2028" t="s">
        <v>2492</v>
      </c>
      <c r="B444" s="2028"/>
      <c r="C444" s="2028"/>
      <c r="D444" s="2028"/>
      <c r="E444" s="2028"/>
      <c r="F444" s="2028"/>
      <c r="G444" s="2035" t="s">
        <v>1981</v>
      </c>
      <c r="H444" s="2017" t="s">
        <v>3935</v>
      </c>
      <c r="I444" s="2033" t="s">
        <v>2447</v>
      </c>
      <c r="J444" s="2028" t="s">
        <v>2951</v>
      </c>
      <c r="K444" s="2028"/>
      <c r="L444" s="2034"/>
      <c r="M444" s="2028"/>
      <c r="N444" s="2017"/>
      <c r="O444" s="2030">
        <v>1</v>
      </c>
      <c r="P444" s="2030"/>
      <c r="Q444" s="2028"/>
      <c r="R444" s="2028"/>
      <c r="S444" s="2028"/>
      <c r="AA444" s="2466" t="s">
        <v>3290</v>
      </c>
      <c r="AB444" s="1998" t="s">
        <v>4449</v>
      </c>
      <c r="AC444" s="2028"/>
      <c r="AD444" s="2028"/>
      <c r="AE444" s="2028"/>
      <c r="AF444" s="2028"/>
      <c r="AG444" s="2467">
        <f>$M$350</f>
        <v>2</v>
      </c>
      <c r="AH444" s="2467"/>
      <c r="AI444" s="2469">
        <f>$M$350</f>
        <v>2</v>
      </c>
      <c r="AJ444" s="2467"/>
      <c r="AK444" s="2028"/>
      <c r="AL444" s="2028"/>
      <c r="AM444" s="2017"/>
      <c r="AN444" s="2028"/>
      <c r="AP444" s="2147" t="s">
        <v>3290</v>
      </c>
      <c r="AQ444" s="2338" t="s">
        <v>4449</v>
      </c>
      <c r="AR444" s="2344"/>
      <c r="AS444" s="2344"/>
      <c r="AT444" s="2344"/>
      <c r="AU444" s="2344"/>
      <c r="AV444" s="2339">
        <f>$O$350</f>
        <v>2</v>
      </c>
      <c r="AW444" s="2369"/>
      <c r="AX444" s="2339">
        <f>$O$350</f>
        <v>2</v>
      </c>
      <c r="AY444" s="2362"/>
      <c r="AZ444" s="2341">
        <f>$P$350</f>
        <v>0</v>
      </c>
      <c r="BA444" s="2364"/>
      <c r="BB444" s="2343">
        <f>$P$350</f>
        <v>0</v>
      </c>
      <c r="BC444" s="2364"/>
    </row>
    <row r="445" spans="1:55">
      <c r="A445" s="2028" t="s">
        <v>2507</v>
      </c>
      <c r="B445" s="2028"/>
      <c r="C445" s="2028"/>
      <c r="D445" s="2028"/>
      <c r="E445" s="2028"/>
      <c r="F445" s="2028"/>
      <c r="G445" s="2035" t="s">
        <v>1902</v>
      </c>
      <c r="H445" s="2017">
        <v>2019</v>
      </c>
      <c r="I445" s="2017" t="s">
        <v>3934</v>
      </c>
      <c r="J445" s="2028" t="s">
        <v>2952</v>
      </c>
      <c r="K445" s="2028"/>
      <c r="L445" s="2034"/>
      <c r="M445" s="2028"/>
      <c r="N445" s="2017"/>
      <c r="O445" s="2030">
        <v>1</v>
      </c>
      <c r="P445" s="2030"/>
      <c r="Q445" s="2028"/>
      <c r="R445" s="2028"/>
      <c r="S445" s="2028"/>
      <c r="AA445" s="2466" t="s">
        <v>3291</v>
      </c>
      <c r="AB445" s="1998" t="s">
        <v>3309</v>
      </c>
      <c r="AC445" s="2028"/>
      <c r="AD445" s="2028"/>
      <c r="AE445" s="2028"/>
      <c r="AF445" s="2028"/>
      <c r="AG445" s="2467">
        <f>$M$359</f>
        <v>2</v>
      </c>
      <c r="AH445" s="2467"/>
      <c r="AI445" s="2469">
        <f>$M$359</f>
        <v>2</v>
      </c>
      <c r="AJ445" s="2467"/>
      <c r="AK445" s="2028"/>
      <c r="AL445" s="2028"/>
      <c r="AM445" s="2017"/>
      <c r="AN445" s="2028"/>
      <c r="AP445" s="2147" t="s">
        <v>3291</v>
      </c>
      <c r="AQ445" s="2338" t="s">
        <v>3309</v>
      </c>
      <c r="AR445" s="2344"/>
      <c r="AS445" s="2344"/>
      <c r="AT445" s="2344"/>
      <c r="AU445" s="2344"/>
      <c r="AV445" s="2339">
        <f>$O$359</f>
        <v>0</v>
      </c>
      <c r="AW445" s="2369"/>
      <c r="AX445" s="2339">
        <f>$O$359</f>
        <v>0</v>
      </c>
      <c r="AY445" s="2362"/>
      <c r="AZ445" s="2341">
        <f>$P$359</f>
        <v>0</v>
      </c>
      <c r="BA445" s="2364"/>
      <c r="BB445" s="2343">
        <f>$P$359</f>
        <v>0</v>
      </c>
      <c r="BC445" s="2364"/>
    </row>
    <row r="446" spans="1:55">
      <c r="A446" s="2034" t="s">
        <v>2934</v>
      </c>
      <c r="B446" s="2028"/>
      <c r="C446" s="2028"/>
      <c r="D446" s="2034"/>
      <c r="E446" s="2034">
        <v>3</v>
      </c>
      <c r="F446" s="2028"/>
      <c r="G446" s="2035" t="s">
        <v>322</v>
      </c>
      <c r="H446" s="2017">
        <v>2019</v>
      </c>
      <c r="I446" s="2017" t="s">
        <v>3934</v>
      </c>
      <c r="J446" s="2028"/>
      <c r="K446" s="2028"/>
      <c r="L446" s="2034"/>
      <c r="M446" s="2028"/>
      <c r="N446" s="2017"/>
      <c r="O446" s="2030"/>
      <c r="P446" s="2030"/>
      <c r="Q446" s="2028"/>
      <c r="R446" s="2028"/>
      <c r="S446" s="2028"/>
      <c r="AA446" s="2466" t="s">
        <v>3292</v>
      </c>
      <c r="AB446" s="2028" t="s">
        <v>4836</v>
      </c>
      <c r="AC446" s="2028"/>
      <c r="AD446" s="2028"/>
      <c r="AE446" s="2028"/>
      <c r="AF446" s="2028"/>
      <c r="AG446" s="2467"/>
      <c r="AH446" s="2467"/>
      <c r="AI446" s="2467">
        <f>$M$368</f>
        <v>0</v>
      </c>
      <c r="AJ446" s="2467">
        <f>$M$368</f>
        <v>0</v>
      </c>
      <c r="AK446" s="2028"/>
      <c r="AL446" s="2028"/>
      <c r="AM446" s="2017"/>
      <c r="AN446" s="2028"/>
      <c r="AP446" s="2147" t="s">
        <v>3292</v>
      </c>
      <c r="AQ446" s="2338" t="s">
        <v>4836</v>
      </c>
      <c r="AR446" s="2344"/>
      <c r="AS446" s="2344"/>
      <c r="AT446" s="2344"/>
      <c r="AU446" s="2344"/>
      <c r="AV446" s="2366"/>
      <c r="AW446" s="2365"/>
      <c r="AX446" s="2339">
        <f>$O$368</f>
        <v>0</v>
      </c>
      <c r="AY446" s="2340">
        <f>$O$368</f>
        <v>0</v>
      </c>
      <c r="AZ446" s="2370"/>
      <c r="BA446" s="2367"/>
      <c r="BB446" s="2343">
        <f>$P$368</f>
        <v>0</v>
      </c>
      <c r="BC446" s="2342">
        <f>$P$368</f>
        <v>0</v>
      </c>
    </row>
    <row r="447" spans="1:55">
      <c r="A447" s="2034" t="s">
        <v>2935</v>
      </c>
      <c r="B447" s="2028"/>
      <c r="C447" s="2028"/>
      <c r="D447" s="2034"/>
      <c r="E447" s="2034">
        <v>2</v>
      </c>
      <c r="F447" s="2028"/>
      <c r="G447" s="2035" t="s">
        <v>814</v>
      </c>
      <c r="H447" s="2017">
        <v>2019</v>
      </c>
      <c r="I447" s="2017" t="s">
        <v>3934</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2936</v>
      </c>
      <c r="B448" s="2028"/>
      <c r="C448" s="2028"/>
      <c r="D448" s="2034"/>
      <c r="E448" s="2034">
        <v>10</v>
      </c>
      <c r="F448" s="2028"/>
      <c r="G448" s="2035" t="s">
        <v>1784</v>
      </c>
      <c r="H448" s="2017">
        <v>2019</v>
      </c>
      <c r="I448" s="2017" t="s">
        <v>3934</v>
      </c>
      <c r="J448" s="2036" t="s">
        <v>3177</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2508</v>
      </c>
      <c r="B449" s="2028"/>
      <c r="C449" s="2028"/>
      <c r="D449" s="2034"/>
      <c r="E449" s="2034"/>
      <c r="F449" s="2028"/>
      <c r="G449" s="2035" t="s">
        <v>394</v>
      </c>
      <c r="H449" s="2017">
        <v>2019</v>
      </c>
      <c r="I449" s="2017" t="s">
        <v>3934</v>
      </c>
      <c r="J449" s="2028" t="s">
        <v>3249</v>
      </c>
      <c r="K449" s="2028"/>
      <c r="L449" s="2034"/>
      <c r="M449" s="2028"/>
      <c r="N449" s="2017"/>
      <c r="O449" s="2030"/>
      <c r="P449" s="2030"/>
      <c r="Q449" s="2028"/>
      <c r="R449" s="2028"/>
      <c r="S449" s="2028"/>
      <c r="AA449" s="1998"/>
      <c r="AB449" s="2471"/>
      <c r="AC449" s="1998"/>
      <c r="AD449" s="1997" t="s">
        <v>4140</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83.5</v>
      </c>
      <c r="AW449" s="2382">
        <f>IF(AND($O$12="4%",($C$12-$A$12)&gt;0),(SUM(AW423:AW447)-($C$12-$A$12)),SUM(AW423:AW447))</f>
        <v>77.5</v>
      </c>
      <c r="AX449" s="2382">
        <f>IF(AND($O$12="4%",($C$12-$A$12)&gt;0),(SUM(AX423:AX447)-($C$12-$A$12)),SUM(AX423:AX447))</f>
        <v>44</v>
      </c>
      <c r="AY449" s="2382">
        <f>SUM(AY423:AY447)</f>
        <v>42</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3934</v>
      </c>
      <c r="J450" s="2028" t="s">
        <v>3244</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3934</v>
      </c>
      <c r="J451" s="2028" t="s">
        <v>3170</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3935</v>
      </c>
      <c r="I452" s="2033" t="s">
        <v>2447</v>
      </c>
      <c r="J452" s="2028" t="s">
        <v>3240</v>
      </c>
      <c r="K452" s="2028"/>
      <c r="L452" s="2034"/>
      <c r="M452" s="2028"/>
      <c r="N452" s="2017"/>
      <c r="O452" s="2030"/>
      <c r="P452" s="2030"/>
      <c r="Q452" s="2028"/>
      <c r="R452" s="2028"/>
      <c r="S452" s="2028"/>
    </row>
    <row r="453" spans="1:55">
      <c r="B453" s="2028"/>
      <c r="C453" s="2034"/>
      <c r="D453" s="2028"/>
      <c r="E453" s="2028"/>
      <c r="F453" s="2028"/>
      <c r="G453" s="2035" t="s">
        <v>2937</v>
      </c>
      <c r="H453" s="2017">
        <v>2019</v>
      </c>
      <c r="I453" s="2017" t="s">
        <v>3934</v>
      </c>
      <c r="J453" s="2028" t="s">
        <v>3171</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3934</v>
      </c>
      <c r="J454" s="2028" t="s">
        <v>3241</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3934</v>
      </c>
      <c r="J455" s="2028" t="s">
        <v>3172</v>
      </c>
      <c r="K455" s="2028"/>
      <c r="L455" s="2028"/>
      <c r="M455" s="2028"/>
      <c r="N455" s="2017"/>
      <c r="O455" s="2030"/>
      <c r="P455" s="2030"/>
      <c r="Q455" s="2028"/>
      <c r="R455" s="2028"/>
      <c r="S455" s="2028"/>
      <c r="AB455" s="2298" t="s">
        <v>4908</v>
      </c>
      <c r="AC455" s="2299"/>
      <c r="AD455" s="2299"/>
      <c r="AE455" s="2300"/>
      <c r="AF455" s="2300"/>
      <c r="AG455" s="2300"/>
      <c r="AH455" s="2300"/>
      <c r="AI455" s="2301" t="s">
        <v>2881</v>
      </c>
      <c r="AJ455" s="2302" t="s">
        <v>245</v>
      </c>
      <c r="AK455" s="2303"/>
    </row>
    <row r="456" spans="1:55">
      <c r="B456" s="2028"/>
      <c r="C456" s="2028"/>
      <c r="D456" s="2028"/>
      <c r="E456" s="2028"/>
      <c r="F456" s="2028"/>
      <c r="G456" s="2035" t="s">
        <v>3258</v>
      </c>
      <c r="H456" s="2017" t="s">
        <v>3935</v>
      </c>
      <c r="I456" s="2033" t="s">
        <v>2447</v>
      </c>
      <c r="J456" s="2028" t="s">
        <v>3242</v>
      </c>
      <c r="K456" s="2028"/>
      <c r="L456" s="2034"/>
      <c r="M456" s="2028"/>
      <c r="N456" s="2017"/>
      <c r="O456" s="2030"/>
      <c r="P456" s="2030"/>
      <c r="Q456" s="2028"/>
      <c r="R456" s="2028"/>
      <c r="S456" s="2028"/>
      <c r="AB456" s="2304"/>
      <c r="AC456" s="2109" t="s">
        <v>3307</v>
      </c>
      <c r="AD456" s="2133"/>
      <c r="AE456" s="2109"/>
      <c r="AF456" s="2109"/>
      <c r="AG456" s="2109"/>
      <c r="AH456" s="2109"/>
      <c r="AI456" s="2305">
        <f>$O$206</f>
        <v>8</v>
      </c>
      <c r="AJ456" s="2306">
        <f>$P$206</f>
        <v>0</v>
      </c>
      <c r="AK456" s="2307"/>
    </row>
    <row r="457" spans="1:55">
      <c r="B457" s="2028"/>
      <c r="C457" s="2028"/>
      <c r="D457" s="2028"/>
      <c r="E457" s="2028"/>
      <c r="F457" s="2028"/>
      <c r="G457" s="2035" t="s">
        <v>506</v>
      </c>
      <c r="H457" s="2017">
        <v>2020</v>
      </c>
      <c r="I457" s="2017" t="s">
        <v>3934</v>
      </c>
      <c r="J457" s="2028" t="s">
        <v>3245</v>
      </c>
      <c r="K457" s="2028"/>
      <c r="L457" s="2034"/>
      <c r="M457" s="2028"/>
      <c r="N457" s="2028"/>
      <c r="O457" s="2028"/>
      <c r="P457" s="2028"/>
      <c r="Q457" s="2028"/>
      <c r="R457" s="2028"/>
      <c r="S457" s="2028"/>
      <c r="AB457" s="2304"/>
      <c r="AC457" s="2109" t="s">
        <v>3909</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3934</v>
      </c>
      <c r="J458" s="2028" t="s">
        <v>3248</v>
      </c>
      <c r="K458" s="2028"/>
      <c r="L458" s="2028"/>
      <c r="M458" s="2028"/>
      <c r="N458" s="2028"/>
      <c r="O458" s="2028"/>
      <c r="P458" s="2028"/>
      <c r="Q458" s="2028"/>
      <c r="R458" s="2028"/>
      <c r="S458" s="2028"/>
      <c r="AB458" s="2304"/>
      <c r="AC458" s="2109" t="s">
        <v>3178</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3935</v>
      </c>
      <c r="I459" s="2033" t="s">
        <v>2447</v>
      </c>
      <c r="J459" s="2028" t="s">
        <v>3173</v>
      </c>
      <c r="K459" s="2028"/>
      <c r="L459" s="2034"/>
      <c r="M459" s="2028"/>
      <c r="N459" s="2028"/>
      <c r="O459" s="2028"/>
      <c r="P459" s="2028"/>
      <c r="Q459" s="2028"/>
      <c r="R459" s="2028"/>
      <c r="S459" s="2028"/>
      <c r="AB459" s="2304"/>
      <c r="AC459" s="2109" t="s">
        <v>4834</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3935</v>
      </c>
      <c r="I460" s="2033" t="s">
        <v>2447</v>
      </c>
      <c r="J460" s="2028" t="s">
        <v>3174</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3934</v>
      </c>
      <c r="J461" s="2028" t="s">
        <v>3243</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3934</v>
      </c>
      <c r="J462" s="2028" t="s">
        <v>3246</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3934</v>
      </c>
      <c r="J463" s="2028" t="s">
        <v>3247</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3934</v>
      </c>
      <c r="J464" s="2028" t="s">
        <v>3175</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3934</v>
      </c>
      <c r="J465" s="2028" t="s">
        <v>3176</v>
      </c>
      <c r="K465" s="2028"/>
      <c r="L465" s="2034"/>
      <c r="M465" s="2028"/>
      <c r="N465" s="2028"/>
      <c r="O465" s="2028"/>
      <c r="P465" s="2028"/>
      <c r="Q465" s="2028"/>
      <c r="R465" s="2028"/>
      <c r="S465" s="2028"/>
    </row>
    <row r="466" spans="2:19" ht="14.25">
      <c r="B466" s="2028"/>
      <c r="C466" s="2037"/>
      <c r="D466" s="2028"/>
      <c r="E466" s="2028"/>
      <c r="F466" s="2028"/>
      <c r="G466" s="2035" t="s">
        <v>3929</v>
      </c>
      <c r="H466" s="2017" t="s">
        <v>3935</v>
      </c>
      <c r="I466" s="2033" t="s">
        <v>2447</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3935</v>
      </c>
      <c r="I467" s="2033" t="s">
        <v>2447</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3935</v>
      </c>
      <c r="I468" s="2033" t="s">
        <v>2447</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3935</v>
      </c>
      <c r="I469" s="2033" t="s">
        <v>2447</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3934</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3934</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3934</v>
      </c>
      <c r="J472" s="2028"/>
      <c r="K472" s="2028"/>
      <c r="L472" s="2028"/>
      <c r="M472" s="2028"/>
      <c r="N472" s="2028"/>
      <c r="O472" s="2028"/>
      <c r="P472" s="2028"/>
      <c r="Q472" s="2028"/>
      <c r="R472" s="2028"/>
      <c r="S472" s="2028"/>
    </row>
    <row r="473" spans="2:19">
      <c r="B473" s="2028"/>
      <c r="C473" s="2028"/>
      <c r="D473" s="2028"/>
      <c r="E473" s="2028"/>
      <c r="F473" s="2028"/>
      <c r="G473" s="2035" t="s">
        <v>3930</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3934</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3934</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3934</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3934</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3934</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3934</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3934</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3935</v>
      </c>
      <c r="I481" s="2033" t="s">
        <v>2447</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Pr4wKrPqiKJ6rtwzJe3mVVg+CZ2m2uDXSDSWAHA/RnTwQqd+cuSROMzgpXTbvH+H9OaksZXXMroWF8xi63Xa8w==" saltValue="pOCsZnmPfSuNsgMS2E2ANw=="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Lewis Crossing, Atlanta, Fulton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5050</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5051</v>
      </c>
      <c r="H5" s="1729"/>
      <c r="I5" s="1729"/>
      <c r="J5" s="1729"/>
      <c r="K5" s="1729"/>
      <c r="L5" s="2502"/>
      <c r="M5" s="1729"/>
      <c r="N5" s="1729"/>
      <c r="O5" s="1729"/>
      <c r="P5" s="2506" t="s">
        <v>3206</v>
      </c>
    </row>
    <row r="6" spans="1:16" ht="13.5" customHeight="1">
      <c r="A6" s="2504"/>
      <c r="B6" s="2504"/>
      <c r="C6" s="2504"/>
      <c r="D6" s="2504"/>
      <c r="E6" s="358"/>
      <c r="F6" s="2502"/>
      <c r="G6" s="2505" t="s">
        <v>5052</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2893</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3183</v>
      </c>
      <c r="G9" s="1729"/>
      <c r="H9" s="1729"/>
      <c r="I9" s="2509">
        <f>'Part III-A-Uses of Funds'!$J$191</f>
        <v>1350000</v>
      </c>
      <c r="J9" s="2509"/>
      <c r="K9" s="1729"/>
      <c r="L9" s="1729" t="s">
        <v>3184</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5053</v>
      </c>
      <c r="J11" s="2476" t="s">
        <v>5054</v>
      </c>
      <c r="K11" s="2501"/>
      <c r="L11" s="1534"/>
      <c r="M11" s="1729"/>
      <c r="N11" s="1729"/>
      <c r="O11" s="1729" t="str">
        <f>'Part I-Project Identification'!O12</f>
        <v>&lt;&lt;Enter Pre-App Nbr&gt;&gt;</v>
      </c>
      <c r="P11" s="1729"/>
    </row>
    <row r="12" spans="1:16" ht="15">
      <c r="A12" s="2514"/>
      <c r="B12" s="2485"/>
      <c r="C12" s="2515"/>
      <c r="D12" s="2515"/>
      <c r="E12" s="2515"/>
      <c r="F12" s="2516" t="s">
        <v>4821</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3553</v>
      </c>
      <c r="C14" s="1729"/>
      <c r="D14" s="2508"/>
      <c r="E14" s="1534"/>
      <c r="F14" s="1729"/>
      <c r="G14" s="1534"/>
      <c r="H14" s="1534"/>
      <c r="I14" s="2518" t="s">
        <v>3211</v>
      </c>
      <c r="J14" s="1729"/>
      <c r="K14" s="1729"/>
      <c r="L14" s="2512"/>
      <c r="M14" s="1729"/>
      <c r="N14" s="1729"/>
      <c r="O14" s="1729"/>
      <c r="P14" s="1729"/>
    </row>
    <row r="15" spans="1:16">
      <c r="A15" s="1729"/>
      <c r="B15" s="1729" t="s">
        <v>3212</v>
      </c>
      <c r="C15" s="1729"/>
      <c r="D15" s="1729"/>
      <c r="E15" s="1729"/>
      <c r="F15" s="1729" t="str">
        <f>'Part I-Project Identification'!F16</f>
        <v xml:space="preserve">Woda Cooper Development, Inc. </v>
      </c>
      <c r="G15" s="1729"/>
      <c r="H15" s="1729"/>
      <c r="I15" s="1729" t="s">
        <v>1665</v>
      </c>
      <c r="J15" s="1729" t="str">
        <f>'Part I-Project Identification'!J16</f>
        <v>Clay Cooper</v>
      </c>
      <c r="K15" s="1729"/>
      <c r="L15" s="1729"/>
      <c r="M15" s="2508" t="s">
        <v>1834</v>
      </c>
      <c r="N15" s="1729" t="str">
        <f>'Part I-Project Identification'!N16</f>
        <v xml:space="preserve">Senior Vice President and Director of Development </v>
      </c>
      <c r="O15" s="1729"/>
      <c r="P15" s="1729"/>
    </row>
    <row r="16" spans="1:16">
      <c r="A16" s="1729"/>
      <c r="B16" s="2508" t="s">
        <v>1597</v>
      </c>
      <c r="C16" s="1729"/>
      <c r="D16" s="1729"/>
      <c r="E16" s="1729"/>
      <c r="F16" s="2519">
        <f>'Part I-Project Identification'!F17</f>
        <v>6144997589</v>
      </c>
      <c r="G16" s="2519"/>
      <c r="H16" s="2519"/>
      <c r="I16" s="2508" t="s">
        <v>1596</v>
      </c>
      <c r="J16" s="1534">
        <f>'Part I-Project Identification'!J17</f>
        <v>0</v>
      </c>
      <c r="K16" s="1729"/>
      <c r="L16" s="1729"/>
      <c r="M16" s="2508" t="s">
        <v>1598</v>
      </c>
      <c r="N16" s="2519">
        <f>'Part I-Project Identification'!N17</f>
        <v>6144997589</v>
      </c>
      <c r="O16" s="2519"/>
      <c r="P16" s="2519"/>
    </row>
    <row r="17" spans="1:16">
      <c r="A17" s="1729"/>
      <c r="B17" s="2508" t="s">
        <v>1837</v>
      </c>
      <c r="C17" s="1729"/>
      <c r="D17" s="1729"/>
      <c r="E17" s="1729"/>
      <c r="F17" s="1729" t="str">
        <f>'Part I-Project Identification'!F18</f>
        <v>ccooper@wodagroup.com</v>
      </c>
      <c r="G17" s="1729"/>
      <c r="H17" s="1729"/>
      <c r="I17" s="1729"/>
      <c r="J17" s="1729"/>
      <c r="K17" s="1729"/>
      <c r="L17" s="1729"/>
      <c r="M17" s="2508" t="s">
        <v>1833</v>
      </c>
      <c r="N17" s="2519">
        <f>'Part I-Project Identification'!N18</f>
        <v>6144997589</v>
      </c>
      <c r="O17" s="2519"/>
      <c r="P17" s="2519"/>
    </row>
    <row r="18" spans="1:16">
      <c r="A18" s="2502"/>
      <c r="B18" s="2501" t="s">
        <v>3552</v>
      </c>
      <c r="C18" s="377"/>
      <c r="D18" s="1729"/>
      <c r="E18" s="1729"/>
      <c r="F18" s="1729"/>
      <c r="G18" s="1729"/>
      <c r="H18" s="1534"/>
      <c r="I18" s="1729"/>
      <c r="J18" s="377"/>
      <c r="K18" s="1729"/>
      <c r="L18" s="1729"/>
      <c r="M18" s="1729"/>
      <c r="N18" s="1729"/>
      <c r="O18" s="1729"/>
      <c r="P18" s="1534"/>
    </row>
    <row r="19" spans="1:16">
      <c r="A19" s="1729"/>
      <c r="B19" s="1729" t="s">
        <v>3212</v>
      </c>
      <c r="C19" s="1729"/>
      <c r="D19" s="1729"/>
      <c r="E19" s="1729"/>
      <c r="F19" s="1729" t="str">
        <f>'Part I-Project Identification'!F20</f>
        <v>Parallel Housing, Inc.</v>
      </c>
      <c r="G19" s="1729"/>
      <c r="H19" s="1729"/>
      <c r="I19" s="1729" t="s">
        <v>1665</v>
      </c>
      <c r="J19" s="1729" t="str">
        <f>'Part I-Project Identification'!J20</f>
        <v>Gregg Bayard</v>
      </c>
      <c r="K19" s="1729"/>
      <c r="L19" s="1729"/>
      <c r="M19" s="2508" t="s">
        <v>1834</v>
      </c>
      <c r="N19" s="1729" t="str">
        <f>'Part I-Project Identification'!N20</f>
        <v>President</v>
      </c>
      <c r="O19" s="1729"/>
      <c r="P19" s="1729"/>
    </row>
    <row r="20" spans="1:16">
      <c r="A20" s="1729"/>
      <c r="B20" s="2508" t="s">
        <v>1597</v>
      </c>
      <c r="C20" s="1729"/>
      <c r="D20" s="1729"/>
      <c r="E20" s="1729"/>
      <c r="F20" s="2519">
        <f>'Part I-Project Identification'!F21</f>
        <v>7062071715</v>
      </c>
      <c r="G20" s="2519"/>
      <c r="H20" s="2519"/>
      <c r="I20" s="2508" t="s">
        <v>1596</v>
      </c>
      <c r="J20" s="1534">
        <f>'Part I-Project Identification'!J21</f>
        <v>0</v>
      </c>
      <c r="K20" s="1729"/>
      <c r="L20" s="1729"/>
      <c r="M20" s="2508" t="s">
        <v>1598</v>
      </c>
      <c r="N20" s="2519">
        <f>'Part I-Project Identification'!N21</f>
        <v>7062071715</v>
      </c>
      <c r="O20" s="2519"/>
      <c r="P20" s="2519"/>
    </row>
    <row r="21" spans="1:16">
      <c r="A21" s="1729"/>
      <c r="B21" s="2508" t="s">
        <v>1837</v>
      </c>
      <c r="C21" s="1729"/>
      <c r="D21" s="1729"/>
      <c r="E21" s="1729"/>
      <c r="F21" s="1729" t="str">
        <f>'Part I-Project Identification'!F22</f>
        <v>greggbayard@gmail.com</v>
      </c>
      <c r="G21" s="1729"/>
      <c r="H21" s="1729"/>
      <c r="I21" s="1729"/>
      <c r="J21" s="1729"/>
      <c r="K21" s="1729"/>
      <c r="L21" s="1729"/>
      <c r="M21" s="2508" t="s">
        <v>1833</v>
      </c>
      <c r="N21" s="2519">
        <f>'Part I-Project Identification'!N22</f>
        <v>7062071715</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Lewis Crossing</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Atlanta</v>
      </c>
      <c r="G26" s="1729"/>
      <c r="H26" s="1729"/>
      <c r="I26" s="2521" t="s">
        <v>575</v>
      </c>
      <c r="J26" s="1729" t="str">
        <f>'Part I-Project Identification'!J27</f>
        <v>Fulton</v>
      </c>
      <c r="K26" s="1729"/>
      <c r="L26" s="1729"/>
      <c r="M26" s="2508" t="s">
        <v>425</v>
      </c>
      <c r="N26" s="1729"/>
      <c r="O26" s="1729"/>
      <c r="P26" s="2520" t="str">
        <f>'Part I-Project Identification'!P27</f>
        <v>No</v>
      </c>
    </row>
    <row r="27" spans="1:16" ht="13.5">
      <c r="A27" s="2502"/>
      <c r="B27" s="1729" t="s">
        <v>3781</v>
      </c>
      <c r="C27" s="2522"/>
      <c r="D27" s="1593"/>
      <c r="E27" s="1593"/>
      <c r="F27" s="1729" t="str">
        <f>'Part I-Project Identification'!F28</f>
        <v>City Limits</v>
      </c>
      <c r="G27" s="1729"/>
      <c r="H27" s="1729"/>
      <c r="I27" s="1534"/>
      <c r="J27" s="378" t="s">
        <v>4615</v>
      </c>
      <c r="K27" s="1534"/>
      <c r="L27" s="1729"/>
      <c r="M27" s="2508" t="s">
        <v>4558</v>
      </c>
      <c r="N27" s="1729"/>
      <c r="O27" s="2523">
        <f>'Part I-Project Identification'!O28</f>
        <v>0.56000000000000005</v>
      </c>
      <c r="P27" s="2523"/>
    </row>
    <row r="28" spans="1:16">
      <c r="A28" s="2502"/>
      <c r="B28" s="1729" t="s">
        <v>1453</v>
      </c>
      <c r="C28" s="1729"/>
      <c r="D28" s="1729"/>
      <c r="E28" s="1729"/>
      <c r="F28" s="2508" t="str">
        <f>'Part I-Project Identification'!F29</f>
        <v>No</v>
      </c>
      <c r="G28" s="1729"/>
      <c r="H28" s="1729"/>
      <c r="I28" s="1534"/>
      <c r="J28" s="1534" t="s">
        <v>2493</v>
      </c>
      <c r="K28" s="1534" t="str">
        <f>'Part I-Project Identification'!K29</f>
        <v>Urban</v>
      </c>
      <c r="L28" s="1729"/>
      <c r="M28" s="2508" t="s">
        <v>2393</v>
      </c>
      <c r="N28" s="2502" t="str">
        <f>'Part I-Project Identification'!N29</f>
        <v>MSA</v>
      </c>
      <c r="O28" s="1729" t="str">
        <f>'Part I-Project Identification'!O29</f>
        <v>Atlanta-Sandy Springs-Marietta</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4547</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4546</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3002</v>
      </c>
      <c r="M34" s="1729"/>
      <c r="N34" s="1729"/>
      <c r="O34" s="1729"/>
      <c r="P34" s="1593"/>
    </row>
    <row r="35" spans="1:17" ht="12.95" hidden="1" customHeight="1">
      <c r="A35" s="2502"/>
      <c r="B35" s="2501"/>
      <c r="C35" s="1729" t="s">
        <v>3807</v>
      </c>
      <c r="D35" s="1729"/>
      <c r="E35" s="1729"/>
      <c r="F35" s="1729"/>
      <c r="G35" s="1729"/>
      <c r="H35" s="1729"/>
      <c r="I35" s="1593"/>
      <c r="J35" s="2521" t="s">
        <v>2477</v>
      </c>
      <c r="K35" s="1729"/>
      <c r="L35" s="1729"/>
      <c r="M35" s="1729"/>
      <c r="N35" s="1729"/>
      <c r="O35" s="2527"/>
      <c r="P35" s="2527"/>
    </row>
    <row r="36" spans="1:17">
      <c r="A36" s="2502"/>
      <c r="B36" s="2501"/>
      <c r="C36" s="1729" t="s">
        <v>1671</v>
      </c>
      <c r="D36" s="1729"/>
      <c r="E36" s="1729"/>
      <c r="F36" s="1729"/>
      <c r="G36" s="1729"/>
      <c r="H36" s="1729"/>
      <c r="I36" s="1593"/>
      <c r="J36" s="2521" t="s">
        <v>2477</v>
      </c>
      <c r="K36" s="1729"/>
      <c r="L36" s="1729"/>
      <c r="M36" s="1729"/>
      <c r="N36" s="1729"/>
      <c r="O36" s="2527">
        <f>'Part I-Project Identification'!O37</f>
        <v>0</v>
      </c>
      <c r="P36" s="2527"/>
    </row>
    <row r="37" spans="1:17">
      <c r="A37" s="2502"/>
      <c r="B37" s="2502"/>
      <c r="C37" s="1729" t="s">
        <v>2568</v>
      </c>
      <c r="D37" s="1729"/>
      <c r="E37" s="1729"/>
      <c r="F37" s="1729"/>
      <c r="G37" s="1729"/>
      <c r="H37" s="1729"/>
      <c r="I37" s="1593"/>
      <c r="J37" s="2521" t="s">
        <v>2477</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t="str">
        <f>'Part I-Project Identification'!A43</f>
        <v>Lewis Crossing will have 50 residential units for general occupancy tenants. It will be a 5-story development with underground parking and an elevator. After discussion with the Castlebury Hill Neighborhood Association and the NPU-M, the development will have one-, two- and three-bedroom units. The exterior will have 80% brick and include some public art on the first floor. 
We have placed the Core Application (Excel &amp; PDF) in the 01 Project Overview folder.  Also included are the signed Application Certifications, Affidavits, and the related Affidavit verification documents.</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Lewis Crossing, Atlanta, Fulton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t="str">
        <f>'Part II-Sources of Funds'!E6</f>
        <v>No</v>
      </c>
      <c r="F49" s="2505" t="s">
        <v>3980</v>
      </c>
      <c r="G49" s="1729"/>
      <c r="H49" s="2475"/>
      <c r="I49" s="2530">
        <f>'Part II-Sources of Funds'!I6</f>
        <v>0</v>
      </c>
      <c r="J49" s="358"/>
      <c r="K49" s="2475"/>
      <c r="L49" s="1534" t="str">
        <f>'Part II-Sources of Funds'!L6</f>
        <v>No</v>
      </c>
      <c r="M49" s="2505" t="s">
        <v>1435</v>
      </c>
      <c r="N49" s="2475"/>
      <c r="O49" s="2475"/>
      <c r="P49" s="2475"/>
      <c r="Q49" s="2528"/>
    </row>
    <row r="50" spans="1:17" ht="13.5">
      <c r="A50" s="2502"/>
      <c r="B50" s="1534" t="str">
        <f>'Part II-Sources of Funds'!B7</f>
        <v>No</v>
      </c>
      <c r="C50" s="2505" t="s">
        <v>3752</v>
      </c>
      <c r="D50" s="1729"/>
      <c r="E50" s="1534" t="str">
        <f>'Part II-Sources of Funds'!E7</f>
        <v>No</v>
      </c>
      <c r="F50" s="2505" t="s">
        <v>3981</v>
      </c>
      <c r="G50" s="2475"/>
      <c r="H50" s="2475"/>
      <c r="I50" s="2530">
        <f>'Part II-Sources of Funds'!I7</f>
        <v>0</v>
      </c>
      <c r="J50" s="358"/>
      <c r="K50" s="2475"/>
      <c r="L50" s="1534" t="str">
        <f>'Part II-Sources of Funds'!L7</f>
        <v>No</v>
      </c>
      <c r="M50" s="2505" t="s">
        <v>513</v>
      </c>
      <c r="N50" s="2475"/>
      <c r="O50" s="2475"/>
      <c r="P50" s="2528"/>
      <c r="Q50" s="2528"/>
    </row>
    <row r="51" spans="1:17" ht="13.5">
      <c r="A51" s="1729"/>
      <c r="B51" s="1534" t="str">
        <f>'Part II-Sources of Funds'!B8</f>
        <v>No</v>
      </c>
      <c r="C51" s="2505" t="s">
        <v>4553</v>
      </c>
      <c r="D51" s="2475"/>
      <c r="E51" s="2475"/>
      <c r="F51" s="2475" t="s">
        <v>4555</v>
      </c>
      <c r="G51" s="2475"/>
      <c r="H51" s="2475" t="str">
        <f>'Part II-Sources of Funds'!H8</f>
        <v>Specify Other HOME Source here</v>
      </c>
      <c r="I51" s="2475"/>
      <c r="J51" s="2475"/>
      <c r="K51" s="2475"/>
      <c r="L51" s="1534" t="str">
        <f>'Part II-Sources of Funds'!L8</f>
        <v>No</v>
      </c>
      <c r="M51" s="2505" t="s">
        <v>4557</v>
      </c>
      <c r="N51" s="2475"/>
      <c r="O51" s="2475"/>
      <c r="P51" s="2528"/>
      <c r="Q51" s="2528"/>
    </row>
    <row r="52" spans="1:17" ht="13.5">
      <c r="A52" s="2502"/>
      <c r="B52" s="1534" t="str">
        <f>'Part II-Sources of Funds'!B9</f>
        <v>No</v>
      </c>
      <c r="C52" s="2475" t="s">
        <v>3217</v>
      </c>
      <c r="D52" s="2475"/>
      <c r="E52" s="1534" t="str">
        <f>'Part II-Sources of Funds'!E9</f>
        <v>Yes</v>
      </c>
      <c r="F52" s="2475" t="str">
        <f>'Part II-Sources of Funds'!F9</f>
        <v>CDFI Capital Magnet Funds</v>
      </c>
      <c r="G52" s="2475"/>
      <c r="H52" s="2475"/>
      <c r="I52" s="2475"/>
      <c r="J52" s="2475"/>
      <c r="K52" s="2475"/>
      <c r="L52" s="1534" t="str">
        <f>'Part II-Sources of Funds'!L9</f>
        <v>No</v>
      </c>
      <c r="M52" s="2505" t="s">
        <v>3753</v>
      </c>
      <c r="N52" s="2475"/>
      <c r="O52" s="2475"/>
      <c r="P52" s="2475"/>
      <c r="Q52" s="2528"/>
    </row>
    <row r="53" spans="1:17" ht="13.5">
      <c r="A53" s="2502"/>
      <c r="B53" s="1534" t="str">
        <f>'Part II-Sources of Funds'!B10</f>
        <v>No</v>
      </c>
      <c r="C53" s="2505" t="s">
        <v>2388</v>
      </c>
      <c r="D53" s="2475"/>
      <c r="E53" s="2475"/>
      <c r="F53" s="2475" t="str">
        <f>'Part II-Sources of Funds'!F10</f>
        <v>United Bank</v>
      </c>
      <c r="G53" s="2475"/>
      <c r="H53" s="2475"/>
      <c r="I53" s="2475"/>
      <c r="J53" s="2475"/>
      <c r="K53" s="2475"/>
      <c r="L53" s="1534" t="str">
        <f>'Part II-Sources of Funds'!L10</f>
        <v>No</v>
      </c>
      <c r="M53" s="2505" t="s">
        <v>3109</v>
      </c>
      <c r="N53" s="2475"/>
      <c r="O53" s="2475"/>
      <c r="P53" s="2528"/>
      <c r="Q53" s="2528"/>
    </row>
    <row r="54" spans="1:17" ht="13.5">
      <c r="A54" s="2502"/>
      <c r="B54" s="1534" t="str">
        <f>'Part II-Sources of Funds'!B11</f>
        <v>No</v>
      </c>
      <c r="C54" s="2505" t="s">
        <v>2389</v>
      </c>
      <c r="D54" s="2475"/>
      <c r="E54" s="1534" t="str">
        <f>'Part II-Sources of Funds'!E11</f>
        <v>Yes</v>
      </c>
      <c r="F54" s="2475" t="str">
        <f>'Part II-Sources of Funds'!F11</f>
        <v>Westside TAD Ascension Fund</v>
      </c>
      <c r="G54" s="2475"/>
      <c r="H54" s="2475"/>
      <c r="I54" s="2475"/>
      <c r="J54" s="2475"/>
      <c r="K54" s="2475"/>
      <c r="L54" s="1534" t="str">
        <f>'Part II-Sources of Funds'!L11</f>
        <v>No</v>
      </c>
      <c r="M54" s="2475" t="s">
        <v>2392</v>
      </c>
      <c r="N54" s="2475"/>
      <c r="O54" s="2475"/>
      <c r="P54" s="2475"/>
      <c r="Q54" s="2475"/>
    </row>
    <row r="55" spans="1:17" ht="13.5">
      <c r="A55" s="2502"/>
      <c r="B55" s="1534" t="str">
        <f>'Part II-Sources of Funds'!B12</f>
        <v>No</v>
      </c>
      <c r="C55" s="2505" t="s">
        <v>3110</v>
      </c>
      <c r="D55" s="2475"/>
      <c r="E55" s="2475"/>
      <c r="F55" s="2475" t="str">
        <f>'Part II-Sources of Funds'!F12</f>
        <v>InvestAtlanta</v>
      </c>
      <c r="G55" s="2475"/>
      <c r="H55" s="2475"/>
      <c r="I55" s="2475"/>
      <c r="J55" s="2475"/>
      <c r="K55" s="2475"/>
      <c r="L55" s="1534" t="str">
        <f>'Part II-Sources of Funds'!L12</f>
        <v>No</v>
      </c>
      <c r="M55" s="2475" t="s">
        <v>3136</v>
      </c>
      <c r="N55" s="2475"/>
      <c r="O55" s="2475"/>
      <c r="P55" s="2475"/>
      <c r="Q55" s="2475"/>
    </row>
    <row r="56" spans="1:17" ht="13.5">
      <c r="A56" s="2502"/>
      <c r="B56" s="1534" t="str">
        <f>'Part II-Sources of Funds'!B13</f>
        <v>No</v>
      </c>
      <c r="C56" s="2505" t="s">
        <v>4554</v>
      </c>
      <c r="D56" s="2475"/>
      <c r="E56" s="1534" t="str">
        <f>'Part II-Sources of Funds'!E13</f>
        <v>No</v>
      </c>
      <c r="F56" s="2505" t="s">
        <v>4556</v>
      </c>
      <c r="G56" s="2475"/>
      <c r="H56" s="2475" t="str">
        <f>'Part II-Sources of Funds'!H13</f>
        <v>Specify Other PBRA Source here</v>
      </c>
      <c r="I56" s="2475"/>
      <c r="J56" s="2475"/>
      <c r="K56" s="2475"/>
      <c r="L56" s="1534" t="str">
        <f>'Part II-Sources of Funds'!L13</f>
        <v>No</v>
      </c>
      <c r="M56" s="2475" t="s">
        <v>3979</v>
      </c>
      <c r="N56" s="2475"/>
      <c r="O56" s="2475"/>
      <c r="P56" s="2475"/>
      <c r="Q56" s="2475"/>
    </row>
    <row r="57" spans="1:17" ht="13.5">
      <c r="A57" s="2502"/>
      <c r="B57" s="1534" t="str">
        <f>'Part II-Sources of Funds'!B14</f>
        <v>No</v>
      </c>
      <c r="C57" s="2475" t="s">
        <v>2391</v>
      </c>
      <c r="D57" s="2475"/>
      <c r="E57" s="1534" t="str">
        <f>'Part II-Sources of Funds'!E14</f>
        <v>No</v>
      </c>
      <c r="F57" s="2505" t="s">
        <v>3216</v>
      </c>
      <c r="G57" s="2475"/>
      <c r="H57" s="2475"/>
      <c r="I57" s="2475"/>
      <c r="J57" s="2475"/>
      <c r="K57" s="2475"/>
      <c r="L57" s="1534" t="str">
        <f>'Part II-Sources of Funds'!L14</f>
        <v>No</v>
      </c>
      <c r="M57" s="2475" t="s">
        <v>4602</v>
      </c>
      <c r="N57" s="2475"/>
      <c r="O57" s="2475"/>
      <c r="P57" s="2475"/>
      <c r="Q57" s="2475"/>
    </row>
    <row r="58" spans="1:17" ht="13.5">
      <c r="A58" s="2502"/>
      <c r="B58" s="1534" t="str">
        <f>'Part II-Sources of Funds'!B15</f>
        <v>No</v>
      </c>
      <c r="C58" s="2475" t="s">
        <v>3135</v>
      </c>
      <c r="D58" s="2475"/>
      <c r="E58" s="1534" t="str">
        <f>'Part II-Sources of Funds'!E15</f>
        <v>No</v>
      </c>
      <c r="F58" s="2505" t="s">
        <v>3982</v>
      </c>
      <c r="G58" s="2475"/>
      <c r="H58" s="2475"/>
      <c r="I58" s="2475"/>
      <c r="J58" s="2475"/>
      <c r="K58" s="2475"/>
      <c r="L58" s="1534" t="str">
        <f>'Part II-Sources of Funds'!L15</f>
        <v>Yes</v>
      </c>
      <c r="M58" s="2528" t="s">
        <v>3983</v>
      </c>
      <c r="N58" s="2475"/>
      <c r="O58" s="2475"/>
      <c r="P58" s="2475"/>
      <c r="Q58" s="2475"/>
    </row>
    <row r="59" spans="1:17" ht="13.5">
      <c r="A59" s="2502"/>
      <c r="B59" s="1534" t="str">
        <f>'Part II-Sources of Funds'!B16</f>
        <v>No</v>
      </c>
      <c r="C59" s="2505" t="s">
        <v>1668</v>
      </c>
      <c r="D59" s="2475"/>
      <c r="E59" s="1534" t="str">
        <f>'Part II-Sources of Funds'!E16</f>
        <v>No</v>
      </c>
      <c r="F59" s="2505" t="s">
        <v>4396</v>
      </c>
      <c r="G59" s="2475"/>
      <c r="H59" s="2475"/>
      <c r="I59" s="2530">
        <f>'Part II-Sources of Funds'!I16</f>
        <v>0</v>
      </c>
      <c r="J59" s="358"/>
      <c r="K59" s="2475"/>
      <c r="L59" s="1534" t="str">
        <f>'Part II-Sources of Funds'!L16</f>
        <v>No</v>
      </c>
      <c r="M59" s="2528" t="s">
        <v>3978</v>
      </c>
      <c r="N59" s="2475"/>
      <c r="O59" s="2475"/>
      <c r="P59" s="2475"/>
      <c r="Q59" s="2475"/>
    </row>
    <row r="60" spans="1:17" ht="13.5">
      <c r="A60" s="2502"/>
      <c r="B60" s="2475" t="s">
        <v>3754</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3720</v>
      </c>
      <c r="M64" s="1729"/>
      <c r="N64" s="1729" t="s">
        <v>1408</v>
      </c>
      <c r="O64" s="1729"/>
      <c r="P64" s="1729" t="s">
        <v>1521</v>
      </c>
      <c r="Q64" s="1729"/>
    </row>
    <row r="65" spans="1:17">
      <c r="A65" s="1729"/>
      <c r="B65" s="1729" t="s">
        <v>1484</v>
      </c>
      <c r="C65" s="1729"/>
      <c r="D65" s="1729"/>
      <c r="E65" s="1729"/>
      <c r="F65" s="1729"/>
      <c r="G65" s="1729"/>
      <c r="H65" s="1729" t="str">
        <f>'Part II-Sources of Funds'!H22</f>
        <v>Merchants Capital</v>
      </c>
      <c r="I65" s="1729"/>
      <c r="J65" s="1729"/>
      <c r="K65" s="1729"/>
      <c r="L65" s="2531">
        <f>'Part II-Sources of Funds'!L22</f>
        <v>17300000</v>
      </c>
      <c r="M65" s="2531"/>
      <c r="N65" s="2532">
        <f>'Part II-Sources of Funds'!N22</f>
        <v>8.7499999999999994E-2</v>
      </c>
      <c r="O65" s="2532"/>
      <c r="P65" s="2533">
        <f>'Part II-Sources of Funds'!P22</f>
        <v>30</v>
      </c>
      <c r="Q65" s="2533"/>
    </row>
    <row r="66" spans="1:17">
      <c r="A66" s="1729"/>
      <c r="B66" s="1729" t="s">
        <v>1485</v>
      </c>
      <c r="C66" s="1729"/>
      <c r="D66" s="1729"/>
      <c r="E66" s="1729"/>
      <c r="F66" s="1729"/>
      <c r="G66" s="1729"/>
      <c r="H66" s="1729" t="str">
        <f>'Part II-Sources of Funds'!H23</f>
        <v>United Bank CDFI</v>
      </c>
      <c r="I66" s="1729"/>
      <c r="J66" s="1729"/>
      <c r="K66" s="1729"/>
      <c r="L66" s="2531">
        <f>'Part II-Sources of Funds'!L23</f>
        <v>500000</v>
      </c>
      <c r="M66" s="2531"/>
      <c r="N66" s="2532">
        <f>'Part II-Sources of Funds'!N23</f>
        <v>0.04</v>
      </c>
      <c r="O66" s="2532"/>
      <c r="P66" s="2533">
        <f>'Part II-Sources of Funds'!P23</f>
        <v>30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t="str">
        <f>'Part II-Sources of Funds'!H26</f>
        <v xml:space="preserve">Invest Atlanta </v>
      </c>
      <c r="I69" s="1729"/>
      <c r="J69" s="1729"/>
      <c r="K69" s="1729"/>
      <c r="L69" s="2531">
        <f>'Part II-Sources of Funds'!L26</f>
        <v>1000000</v>
      </c>
      <c r="M69" s="2531"/>
      <c r="N69" s="2532"/>
      <c r="O69" s="2532"/>
      <c r="P69" s="1729"/>
      <c r="Q69" s="1729"/>
    </row>
    <row r="70" spans="1:17" ht="13.5">
      <c r="A70" s="1729"/>
      <c r="B70" s="1729" t="s">
        <v>594</v>
      </c>
      <c r="C70" s="1729"/>
      <c r="D70" s="1729"/>
      <c r="E70" s="1729"/>
      <c r="F70" s="2475"/>
      <c r="G70" s="2475"/>
      <c r="H70" s="1729" t="str">
        <f>'Part II-Sources of Funds'!H27</f>
        <v>Woda Cooper Development, Inc. and Parallel Housing, Inc.</v>
      </c>
      <c r="I70" s="1729"/>
      <c r="J70" s="1729"/>
      <c r="K70" s="1729"/>
      <c r="L70" s="2531">
        <f>'Part II-Sources of Funds'!L27</f>
        <v>277635</v>
      </c>
      <c r="M70" s="2531"/>
      <c r="N70" s="2532"/>
      <c r="O70" s="2532"/>
      <c r="P70" s="1729"/>
      <c r="Q70" s="1729"/>
    </row>
    <row r="71" spans="1:17" ht="13.5">
      <c r="A71" s="1729"/>
      <c r="B71" s="1729" t="s">
        <v>745</v>
      </c>
      <c r="C71" s="1729"/>
      <c r="D71" s="1729"/>
      <c r="E71" s="1729"/>
      <c r="F71" s="2475"/>
      <c r="G71" s="2475"/>
      <c r="H71" s="1729" t="str">
        <f>'Part II-Sources of Funds'!H28</f>
        <v>Merchants Capital</v>
      </c>
      <c r="I71" s="1729"/>
      <c r="J71" s="1729"/>
      <c r="K71" s="1729"/>
      <c r="L71" s="2531">
        <f>'Part II-Sources of Funds'!L28</f>
        <v>1147385</v>
      </c>
      <c r="M71" s="2531"/>
      <c r="N71" s="1729"/>
      <c r="O71" s="2475"/>
      <c r="P71" s="2475"/>
      <c r="Q71" s="1729"/>
    </row>
    <row r="72" spans="1:17" ht="13.5">
      <c r="A72" s="1729"/>
      <c r="B72" s="1729" t="s">
        <v>746</v>
      </c>
      <c r="C72" s="1729"/>
      <c r="D72" s="1729"/>
      <c r="E72" s="1729"/>
      <c r="F72" s="2475"/>
      <c r="G72" s="2475"/>
      <c r="H72" s="1729" t="str">
        <f>'Part II-Sources of Funds'!H29</f>
        <v>Merchants Capital</v>
      </c>
      <c r="I72" s="1729"/>
      <c r="J72" s="1729"/>
      <c r="K72" s="1729"/>
      <c r="L72" s="2531">
        <f>'Part II-Sources of Funds'!L29</f>
        <v>661500</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20886520</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20886520</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3719</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Merchants Capital</v>
      </c>
      <c r="F83" s="1729"/>
      <c r="G83" s="1729"/>
      <c r="H83" s="1729"/>
      <c r="I83" s="2536">
        <f>'Part II-Sources of Funds'!I40</f>
        <v>2200000</v>
      </c>
      <c r="J83" s="1729"/>
      <c r="K83" s="2537">
        <f>'Part II-Sources of Funds'!K40</f>
        <v>7.7499999999999999E-2</v>
      </c>
      <c r="L83" s="1534">
        <f>'Part II-Sources of Funds'!L40</f>
        <v>15</v>
      </c>
      <c r="M83" s="1534">
        <f>'Part II-Sources of Funds'!M40</f>
        <v>40</v>
      </c>
      <c r="N83" s="1729" t="str">
        <f>'Part II-Sources of Funds'!N40</f>
        <v>Amortizing</v>
      </c>
      <c r="O83" s="1729"/>
      <c r="P83" s="2538">
        <f>'Part II-Sources of Funds'!P40</f>
        <v>178627.64290489111</v>
      </c>
      <c r="Q83" s="2538"/>
    </row>
    <row r="84" spans="1:17">
      <c r="A84" s="1729"/>
      <c r="B84" s="1729" t="s">
        <v>2397</v>
      </c>
      <c r="C84" s="1729"/>
      <c r="D84" s="1729"/>
      <c r="E84" s="1729" t="str">
        <f>'Part II-Sources of Funds'!E41</f>
        <v>United Bank CDFI</v>
      </c>
      <c r="F84" s="1729"/>
      <c r="G84" s="1729"/>
      <c r="H84" s="1729"/>
      <c r="I84" s="2536">
        <f>'Part II-Sources of Funds'!I41</f>
        <v>500000</v>
      </c>
      <c r="J84" s="1729"/>
      <c r="K84" s="2537">
        <f>'Part II-Sources of Funds'!K41</f>
        <v>0.04</v>
      </c>
      <c r="L84" s="1534">
        <f>'Part II-Sources of Funds'!L41</f>
        <v>20</v>
      </c>
      <c r="M84" s="1534">
        <f>'Part II-Sources of Funds'!M41</f>
        <v>20</v>
      </c>
      <c r="N84" s="1729" t="str">
        <f>'Part II-Sources of Funds'!N41</f>
        <v>Cash Flow</v>
      </c>
      <c r="O84" s="1729"/>
      <c r="P84" s="2538">
        <f>'Part II-Sources of Funds'!P41</f>
        <v>11841.889273777211</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f>'Part II-Sources of Funds'!P42</f>
        <v>0</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3818</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0.19625163636363635</v>
      </c>
      <c r="E88" s="1729" t="str">
        <f>'Part II-Sources of Funds'!E45</f>
        <v>Woda Cooper Development, Inc. &amp; Parallel Housing, Inc.</v>
      </c>
      <c r="F88" s="1729"/>
      <c r="G88" s="1729"/>
      <c r="H88" s="1729"/>
      <c r="I88" s="2536">
        <f>'Part II-Sources of Funds'!I45</f>
        <v>269846</v>
      </c>
      <c r="J88" s="1729"/>
      <c r="K88" s="2537">
        <f>'Part II-Sources of Funds'!K45</f>
        <v>0</v>
      </c>
      <c r="L88" s="1534">
        <f>'Part II-Sources of Funds'!L45</f>
        <v>15</v>
      </c>
      <c r="M88" s="1534">
        <f>'Part II-Sources of Funds'!M45</f>
        <v>0</v>
      </c>
      <c r="N88" s="1729" t="str">
        <f>'Part II-Sources of Funds'!N45</f>
        <v>Cash Flow</v>
      </c>
      <c r="O88" s="1729"/>
      <c r="P88" s="2538">
        <f>'Part II-Sources of Funds'!P45</f>
        <v>17989.73</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3318</v>
      </c>
      <c r="C90" s="1729"/>
      <c r="D90" s="2475"/>
      <c r="E90" s="2475" t="s">
        <v>3276</v>
      </c>
      <c r="F90" s="2543">
        <f>'Part II-Sources of Funds'!F47</f>
        <v>650816.92000480951</v>
      </c>
      <c r="G90" s="2475"/>
      <c r="H90" s="2544" t="s">
        <v>3317</v>
      </c>
      <c r="I90" s="2543">
        <f>'Part II-Sources of Funds'!I47</f>
        <v>269845.95</v>
      </c>
      <c r="J90" s="2475"/>
      <c r="K90" s="2544" t="s">
        <v>3319</v>
      </c>
      <c r="L90" s="2545">
        <f>'Part II-Sources of Funds'!L47</f>
        <v>0.41462651278028523</v>
      </c>
      <c r="M90" s="2545"/>
      <c r="N90" s="2538" t="s">
        <v>3723</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t="str">
        <f>'Part II-Sources of Funds'!E50</f>
        <v>Invest Atlanta</v>
      </c>
      <c r="F93" s="1729"/>
      <c r="G93" s="1729"/>
      <c r="H93" s="1729"/>
      <c r="I93" s="2536">
        <f>'Part II-Sources of Funds'!I50</f>
        <v>1000000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Merchants Capital</v>
      </c>
      <c r="F94" s="1729"/>
      <c r="G94" s="1729"/>
      <c r="H94" s="1729"/>
      <c r="I94" s="2536">
        <f>'Part II-Sources of Funds'!I51</f>
        <v>11473853</v>
      </c>
      <c r="J94" s="1729"/>
      <c r="K94" s="2475"/>
      <c r="L94" s="2549">
        <f>'Part III-A-Uses of Funds'!$J$191*10*'Part III-A-Uses of Funds'!$N$182</f>
        <v>11475000</v>
      </c>
      <c r="M94" s="2549"/>
      <c r="N94" s="2550">
        <f>I94-L94</f>
        <v>-1147</v>
      </c>
      <c r="O94" s="2550"/>
      <c r="P94" s="2551">
        <f>I94/I104</f>
        <v>0.51965038684196119</v>
      </c>
      <c r="Q94" s="1729"/>
    </row>
    <row r="95" spans="1:17" ht="13.5">
      <c r="A95" s="1729"/>
      <c r="B95" s="1729" t="s">
        <v>746</v>
      </c>
      <c r="C95" s="1729"/>
      <c r="D95" s="1729"/>
      <c r="E95" s="1729" t="str">
        <f>'Part II-Sources of Funds'!E52</f>
        <v>Merchants Capital</v>
      </c>
      <c r="F95" s="1729"/>
      <c r="G95" s="1729"/>
      <c r="H95" s="1729"/>
      <c r="I95" s="2536">
        <f>'Part II-Sources of Funds'!I52</f>
        <v>6615000</v>
      </c>
      <c r="J95" s="1729"/>
      <c r="K95" s="2475"/>
      <c r="L95" s="2549">
        <f>'Part III-A-Uses of Funds'!$J$191*10*'Part III-A-Uses of Funds'!$Q$182</f>
        <v>6615000</v>
      </c>
      <c r="M95" s="2549"/>
      <c r="N95" s="2550">
        <f>I95-L95</f>
        <v>0</v>
      </c>
      <c r="O95" s="2550"/>
      <c r="P95" s="2551">
        <f>I95/I104</f>
        <v>0.29959311043636111</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0.81924349727832224</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t="str">
        <f>'Part II-Sources of Funds'!C57</f>
        <v>45L Energy Credit Equity</v>
      </c>
      <c r="D100" s="1729"/>
      <c r="E100" s="1729" t="str">
        <f>'Part II-Sources of Funds'!E57</f>
        <v>Merchants Capital</v>
      </c>
      <c r="F100" s="1729"/>
      <c r="G100" s="1729"/>
      <c r="H100" s="1729"/>
      <c r="I100" s="2536">
        <f>'Part II-Sources of Funds'!I57</f>
        <v>21248</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22079947</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22079947</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3819</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The equity check shows a slight variance on the Federal side since the investor, Merchants Capital, only receives 99.99% of those credits.</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Lewis Crossing,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9000</v>
      </c>
      <c r="H119" s="2531"/>
      <c r="I119" s="1729"/>
      <c r="J119" s="2531">
        <f>'Part III-A-Uses of Funds'!J9</f>
        <v>9000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7000</v>
      </c>
      <c r="H120" s="2531"/>
      <c r="I120" s="1729"/>
      <c r="J120" s="2531">
        <f>'Part III-A-Uses of Funds'!J10</f>
        <v>7000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60000</v>
      </c>
      <c r="H121" s="2531"/>
      <c r="I121" s="1729"/>
      <c r="J121" s="2531">
        <f>'Part III-A-Uses of Funds'!J11</f>
        <v>60000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5000</v>
      </c>
      <c r="H122" s="2531"/>
      <c r="I122" s="1729"/>
      <c r="J122" s="2531">
        <f>'Part III-A-Uses of Funds'!J12</f>
        <v>5000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20000</v>
      </c>
      <c r="H123" s="2531"/>
      <c r="I123" s="1729"/>
      <c r="J123" s="2531">
        <f>'Part III-A-Uses of Funds'!J13</f>
        <v>20000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5000</v>
      </c>
      <c r="H124" s="2531"/>
      <c r="I124" s="1729"/>
      <c r="J124" s="2531">
        <f>'Part III-A-Uses of Funds'!J14</f>
        <v>5000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4168</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4169</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4170</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106000</v>
      </c>
      <c r="H128" s="2531"/>
      <c r="I128" s="1729"/>
      <c r="J128" s="2531">
        <f>SUM(J119:J127)</f>
        <v>106000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3137</v>
      </c>
      <c r="F130" s="2558">
        <f>IF('Part I-Project Identification'!$O$28="","",G130/'Part I-Project Identification'!$O$28)</f>
        <v>4285714.2857142854</v>
      </c>
      <c r="G130" s="2531">
        <f>'Part III-A-Uses of Funds'!G20</f>
        <v>2400000</v>
      </c>
      <c r="H130" s="2531"/>
      <c r="I130" s="1729"/>
      <c r="J130" s="2520"/>
      <c r="K130" s="2531"/>
      <c r="L130" s="2520"/>
      <c r="M130" s="2520"/>
      <c r="N130" s="2531"/>
      <c r="O130" s="1729"/>
      <c r="P130" s="2520"/>
      <c r="Q130" s="2531"/>
      <c r="R130" s="1729"/>
      <c r="S130" s="2531">
        <f>'Part III-A-Uses of Funds'!S20</f>
        <v>2400000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2400000</v>
      </c>
      <c r="H134" s="2531"/>
      <c r="I134" s="1729"/>
      <c r="J134" s="2520"/>
      <c r="K134" s="2531"/>
      <c r="L134" s="2520"/>
      <c r="M134" s="2531">
        <f>SUM(M132:M133)</f>
        <v>0</v>
      </c>
      <c r="N134" s="2531"/>
      <c r="O134" s="1729"/>
      <c r="P134" s="2520"/>
      <c r="Q134" s="2531"/>
      <c r="R134" s="1729"/>
      <c r="S134" s="2531">
        <f>SUM(S130:S133)</f>
        <v>2400000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3137</v>
      </c>
      <c r="F136" s="2558">
        <f>IF('Part I-Project Identification'!$O$28="","",G136/'Part I-Project Identification'!$O$28)</f>
        <v>3446428.5714285709</v>
      </c>
      <c r="G136" s="2531">
        <f>'Part III-A-Uses of Funds'!G26</f>
        <v>1930000</v>
      </c>
      <c r="H136" s="2531"/>
      <c r="I136" s="1729"/>
      <c r="J136" s="2531">
        <f>'Part III-A-Uses of Funds'!J26</f>
        <v>1930000</v>
      </c>
      <c r="K136" s="2531"/>
      <c r="L136" s="2520"/>
      <c r="M136" s="2531">
        <f>'Part III-A-Uses of Funds'!M26</f>
        <v>0</v>
      </c>
      <c r="N136" s="2531"/>
      <c r="O136" s="1729"/>
      <c r="P136" s="2531">
        <f>'Part III-A-Uses of Funds'!P26</f>
        <v>0</v>
      </c>
      <c r="Q136" s="2531"/>
      <c r="R136" s="1729"/>
      <c r="S136" s="2531">
        <f>'Part III-A-Uses of Funds'!S26</f>
        <v>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1930000</v>
      </c>
      <c r="H138" s="2531"/>
      <c r="I138" s="1729"/>
      <c r="J138" s="2531">
        <f>SUM(J136:J137)</f>
        <v>1930000</v>
      </c>
      <c r="K138" s="2531"/>
      <c r="L138" s="2520"/>
      <c r="M138" s="2531">
        <f>M136</f>
        <v>0</v>
      </c>
      <c r="N138" s="2531"/>
      <c r="O138" s="1729"/>
      <c r="P138" s="2531">
        <f>P136</f>
        <v>0</v>
      </c>
      <c r="Q138" s="2531"/>
      <c r="R138" s="1729"/>
      <c r="S138" s="2531">
        <f>SUM(S136:S137)</f>
        <v>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10247600</v>
      </c>
      <c r="H140" s="2531"/>
      <c r="I140" s="1729"/>
      <c r="J140" s="2531">
        <f>'Part III-A-Uses of Funds'!J30</f>
        <v>10247600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3989</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3987</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2488</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3988</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10247600</v>
      </c>
      <c r="H146" s="2531"/>
      <c r="I146" s="1729"/>
      <c r="J146" s="2531">
        <f>SUM(J140:J145)</f>
        <v>10247600</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3141</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730656</v>
      </c>
      <c r="F148" s="2564">
        <f>IF(($G$28+$G$36)=0,0,G148/($G$28+$G$36))</f>
        <v>0</v>
      </c>
      <c r="G148" s="2531">
        <f>'Part III-A-Uses of Funds'!G38</f>
        <v>730656</v>
      </c>
      <c r="H148" s="2531"/>
      <c r="I148" s="377"/>
      <c r="J148" s="2531">
        <f>'Part III-A-Uses of Funds'!J38</f>
        <v>730656</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2469</v>
      </c>
      <c r="C149" s="1729"/>
      <c r="D149" s="2564">
        <f>'DCA Underwriting Assumptions'!$R$53</f>
        <v>0.02</v>
      </c>
      <c r="E149" s="2565">
        <f>ROUNDDOWN(D149*(G138+G146),0)</f>
        <v>243552</v>
      </c>
      <c r="F149" s="2564">
        <f>IF(($G$28+$G$36)=0,0,G149/($G$28+$G$36))</f>
        <v>0</v>
      </c>
      <c r="G149" s="2531">
        <f>'Part III-A-Uses of Funds'!G39</f>
        <v>243551</v>
      </c>
      <c r="H149" s="2531"/>
      <c r="I149" s="377"/>
      <c r="J149" s="2531">
        <f>'Part III-A-Uses of Funds'!J39</f>
        <v>243551</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2470</v>
      </c>
      <c r="C150" s="1729"/>
      <c r="D150" s="2564">
        <f>'DCA Underwriting Assumptions'!$R$54</f>
        <v>0.06</v>
      </c>
      <c r="E150" s="2565">
        <f>ROUNDDOWN(D150*(G138+G146),0)</f>
        <v>730656</v>
      </c>
      <c r="F150" s="2564">
        <f>IF(($G$28+$G$36)=0,0,G150/($G$28+$G$36))</f>
        <v>0</v>
      </c>
      <c r="G150" s="2531">
        <f>'Part III-A-Uses of Funds'!G40</f>
        <v>730656</v>
      </c>
      <c r="H150" s="2531"/>
      <c r="I150" s="377"/>
      <c r="J150" s="2531">
        <f>'Part III-A-Uses of Funds'!J40</f>
        <v>730656</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3142</v>
      </c>
      <c r="C151" s="1729"/>
      <c r="D151" s="2562">
        <f>SUM(D148:D150)</f>
        <v>0.14000000000000001</v>
      </c>
      <c r="E151" s="2566">
        <f>SUM(E148:E150)</f>
        <v>1704864</v>
      </c>
      <c r="F151" s="2555" t="s">
        <v>184</v>
      </c>
      <c r="G151" s="2531">
        <f>SUM(G148:G150)</f>
        <v>1704863</v>
      </c>
      <c r="H151" s="2531"/>
      <c r="I151" s="1729"/>
      <c r="J151" s="2531">
        <f>SUM(J148:J150)</f>
        <v>1704863</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4386</v>
      </c>
      <c r="D153" s="1729"/>
      <c r="E153" s="2502"/>
      <c r="F153" s="2502"/>
      <c r="G153" s="2568">
        <f>G138+G146+G151</f>
        <v>13882463</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5055</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4171</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5056</v>
      </c>
      <c r="C158" s="2570"/>
      <c r="D158" s="1729"/>
      <c r="E158" s="2501" t="s">
        <v>2472</v>
      </c>
      <c r="F158" s="2571">
        <f>C159/'Part V-Revenues &amp; Expenses'!$P$65</f>
        <v>277649.26</v>
      </c>
      <c r="G158" s="2572" t="s">
        <v>5057</v>
      </c>
      <c r="H158" s="1729"/>
      <c r="I158" s="1729"/>
      <c r="J158" s="2573">
        <f>C159/'Part V-Revenues &amp; Expenses'!$P$67</f>
        <v>277649.26</v>
      </c>
      <c r="K158" s="2573"/>
      <c r="L158" s="1729"/>
      <c r="M158" s="2574" t="s">
        <v>4372</v>
      </c>
      <c r="N158" s="2574"/>
      <c r="O158" s="1729"/>
      <c r="P158" s="2573">
        <f>C159/'Part V-Revenues &amp; Expenses'!$K$179</f>
        <v>253.32961678832118</v>
      </c>
      <c r="Q158" s="2573"/>
      <c r="R158" s="1729"/>
      <c r="S158" s="2575" t="s">
        <v>4374</v>
      </c>
      <c r="T158" s="2575"/>
    </row>
    <row r="159" spans="1:20" ht="13.5">
      <c r="A159" s="1729"/>
      <c r="B159" s="2576" t="s">
        <v>4385</v>
      </c>
      <c r="C159" s="2577">
        <f>G138+G146+G151+G156</f>
        <v>13882463</v>
      </c>
      <c r="D159" s="1729"/>
      <c r="E159" s="2501"/>
      <c r="F159" s="2571">
        <f>C159/'Part V-Revenues &amp; Expenses'!$P$170</f>
        <v>321.18974133543105</v>
      </c>
      <c r="G159" s="2575" t="s">
        <v>5058</v>
      </c>
      <c r="H159" s="1729"/>
      <c r="I159" s="1729"/>
      <c r="J159" s="2573">
        <f>C159/'Part V-Revenues &amp; Expenses'!$P$172</f>
        <v>321.18974133543105</v>
      </c>
      <c r="K159" s="2573"/>
      <c r="L159" s="1729"/>
      <c r="M159" s="2575" t="s">
        <v>4373</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5059</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4193</v>
      </c>
      <c r="C164" s="1729"/>
      <c r="D164" s="1729"/>
      <c r="E164" s="1729"/>
      <c r="F164" s="1257" t="s">
        <v>3323</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3322</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694123.15</v>
      </c>
      <c r="F165" s="2539">
        <f>G165/C159</f>
        <v>4.9999989195000913E-2</v>
      </c>
      <c r="G165" s="2531">
        <f>'Part III-A-Uses of Funds'!G55</f>
        <v>694123</v>
      </c>
      <c r="H165" s="2531"/>
      <c r="I165" s="1729"/>
      <c r="J165" s="2531">
        <f>'Part III-A-Uses of Funds'!J55</f>
        <v>694123</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4194</v>
      </c>
      <c r="C167" s="2570"/>
      <c r="D167" s="1729"/>
      <c r="E167" s="2501" t="s">
        <v>4195</v>
      </c>
      <c r="F167" s="2571">
        <f>B168/'Part V-Revenues &amp; Expenses'!$P$65</f>
        <v>291531.71999999997</v>
      </c>
      <c r="G167" s="2572" t="s">
        <v>5057</v>
      </c>
      <c r="H167" s="1729"/>
      <c r="I167" s="1729"/>
      <c r="J167" s="2573">
        <f>B168/'Part V-Revenues &amp; Expenses'!$P$67</f>
        <v>291531.71999999997</v>
      </c>
      <c r="K167" s="2573"/>
      <c r="L167" s="1729"/>
      <c r="M167" s="2574" t="s">
        <v>4372</v>
      </c>
      <c r="N167" s="2574"/>
      <c r="O167" s="1729"/>
      <c r="P167" s="2573">
        <f>B168/'Part V-Revenues &amp; Expenses'!$K$179</f>
        <v>265.99609489051096</v>
      </c>
      <c r="Q167" s="2573"/>
      <c r="R167" s="1729"/>
      <c r="S167" s="2575" t="s">
        <v>4374</v>
      </c>
      <c r="T167" s="2575"/>
    </row>
    <row r="168" spans="1:20">
      <c r="A168" s="1729"/>
      <c r="B168" s="2577">
        <f>C159+G165</f>
        <v>14576586</v>
      </c>
      <c r="C168" s="2577"/>
      <c r="D168" s="1729"/>
      <c r="E168" s="2501"/>
      <c r="F168" s="2571">
        <f>B168/'Part V-Revenues &amp; Expenses'!$P$170</f>
        <v>337.24922493174773</v>
      </c>
      <c r="G168" s="2575" t="s">
        <v>5058</v>
      </c>
      <c r="H168" s="1729"/>
      <c r="I168" s="1729"/>
      <c r="J168" s="2573">
        <f>B168/'Part V-Revenues &amp; Expenses'!$P$172</f>
        <v>337.24922493174773</v>
      </c>
      <c r="K168" s="2573"/>
      <c r="L168" s="1729"/>
      <c r="M168" s="2575" t="s">
        <v>4373</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3143</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3144</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173000</v>
      </c>
      <c r="H173" s="2531"/>
      <c r="I173" s="1729"/>
      <c r="J173" s="2531">
        <f>'Part III-A-Uses of Funds'!J63</f>
        <v>173000</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2161</v>
      </c>
      <c r="C174" s="1729"/>
      <c r="D174" s="1729"/>
      <c r="E174" s="1729"/>
      <c r="F174" s="1729"/>
      <c r="G174" s="2531">
        <f>'Part III-A-Uses of Funds'!G64</f>
        <v>1323284</v>
      </c>
      <c r="H174" s="2531"/>
      <c r="I174" s="1729"/>
      <c r="J174" s="2531">
        <f>'Part III-A-Uses of Funds'!J64</f>
        <v>1028209</v>
      </c>
      <c r="K174" s="2531"/>
      <c r="L174" s="2520"/>
      <c r="M174" s="2531">
        <f>'Part III-A-Uses of Funds'!M64</f>
        <v>0</v>
      </c>
      <c r="N174" s="2531"/>
      <c r="O174" s="1729"/>
      <c r="P174" s="2531">
        <f>'Part III-A-Uses of Funds'!P64</f>
        <v>0</v>
      </c>
      <c r="Q174" s="2531"/>
      <c r="R174" s="1729"/>
      <c r="S174" s="2531">
        <f>'Part III-A-Uses of Funds'!S64</f>
        <v>295075</v>
      </c>
      <c r="T174" s="2531"/>
    </row>
    <row r="175" spans="1:20">
      <c r="A175" s="1729"/>
      <c r="B175" s="1729" t="s">
        <v>2162</v>
      </c>
      <c r="C175" s="1729"/>
      <c r="D175" s="1729"/>
      <c r="E175" s="1729"/>
      <c r="F175" s="1729"/>
      <c r="G175" s="2531">
        <f>'Part III-A-Uses of Funds'!G65</f>
        <v>40000</v>
      </c>
      <c r="H175" s="2531"/>
      <c r="I175" s="1729"/>
      <c r="J175" s="2531">
        <f>'Part III-A-Uses of Funds'!J65</f>
        <v>40000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25000</v>
      </c>
      <c r="H176" s="2531"/>
      <c r="I176" s="1729"/>
      <c r="J176" s="2531">
        <f>'Part III-A-Uses of Funds'!J66</f>
        <v>25000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15000</v>
      </c>
      <c r="H177" s="2531"/>
      <c r="I177" s="1729"/>
      <c r="J177" s="2531">
        <f>'Part III-A-Uses of Funds'!J67</f>
        <v>15000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135000</v>
      </c>
      <c r="H178" s="2531"/>
      <c r="I178" s="1729"/>
      <c r="J178" s="2531">
        <f>'Part III-A-Uses of Funds'!J68</f>
        <v>135000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47500</v>
      </c>
      <c r="H179" s="2531"/>
      <c r="I179" s="1729"/>
      <c r="J179" s="2531">
        <f>'Part III-A-Uses of Funds'!J69</f>
        <v>47500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4173</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4174</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1758784</v>
      </c>
      <c r="H183" s="2531"/>
      <c r="I183" s="1729"/>
      <c r="J183" s="2531">
        <f>SUM(J171:J182)</f>
        <v>1463709</v>
      </c>
      <c r="K183" s="2531"/>
      <c r="L183" s="2520"/>
      <c r="M183" s="2531">
        <f>SUM(M171:M182)</f>
        <v>0</v>
      </c>
      <c r="N183" s="2531"/>
      <c r="O183" s="1729"/>
      <c r="P183" s="2531">
        <f>SUM(P171:P182)</f>
        <v>0</v>
      </c>
      <c r="Q183" s="2531"/>
      <c r="R183" s="1729"/>
      <c r="S183" s="2531">
        <f>SUM(S171:S182)</f>
        <v>295075</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400000</v>
      </c>
      <c r="H185" s="2531"/>
      <c r="I185" s="1729"/>
      <c r="J185" s="2531">
        <f>'Part III-A-Uses of Funds'!J75</f>
        <v>400000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50000</v>
      </c>
      <c r="H186" s="2531"/>
      <c r="I186" s="1729"/>
      <c r="J186" s="2531">
        <f>'Part III-A-Uses of Funds'!J76</f>
        <v>50000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15000</v>
      </c>
      <c r="H187" s="2531"/>
      <c r="I187" s="1729"/>
      <c r="J187" s="2531">
        <f>'Part III-A-Uses of Funds'!J77</f>
        <v>15000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15000</v>
      </c>
      <c r="H188" s="2531"/>
      <c r="I188" s="1729"/>
      <c r="J188" s="2531">
        <f>'Part III-A-Uses of Funds'!J78</f>
        <v>15000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10000</v>
      </c>
      <c r="H189" s="2531"/>
      <c r="I189" s="1729"/>
      <c r="J189" s="2531">
        <f>'Part III-A-Uses of Funds'!J79</f>
        <v>10000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10000</v>
      </c>
      <c r="H190" s="2531"/>
      <c r="I190" s="1729"/>
      <c r="J190" s="2531">
        <f>'Part III-A-Uses of Funds'!J80</f>
        <v>10000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130000</v>
      </c>
      <c r="H191" s="2531"/>
      <c r="I191" s="1729"/>
      <c r="J191" s="2531">
        <f>'Part III-A-Uses of Funds'!J81</f>
        <v>130000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100000</v>
      </c>
      <c r="H192" s="2531"/>
      <c r="I192" s="1729"/>
      <c r="J192" s="2531">
        <f>'Part III-A-Uses of Funds'!J82</f>
        <v>100000</v>
      </c>
      <c r="K192" s="2531"/>
      <c r="L192" s="2520"/>
      <c r="M192" s="2531">
        <f>'Part III-A-Uses of Funds'!M82</f>
        <v>0</v>
      </c>
      <c r="N192" s="2531"/>
      <c r="O192" s="1729"/>
      <c r="P192" s="2531">
        <f>'Part III-A-Uses of Funds'!P82</f>
        <v>0</v>
      </c>
      <c r="Q192" s="2531"/>
      <c r="R192" s="1729"/>
      <c r="S192" s="2531">
        <f>'Part III-A-Uses of Funds'!S82</f>
        <v>0</v>
      </c>
      <c r="T192" s="2531"/>
    </row>
    <row r="193" spans="1:20">
      <c r="A193" s="1729"/>
      <c r="B193" s="1729" t="s">
        <v>1894</v>
      </c>
      <c r="C193" s="1729"/>
      <c r="D193" s="1729"/>
      <c r="E193" s="1729"/>
      <c r="F193" s="1729"/>
      <c r="G193" s="2531">
        <f>'Part III-A-Uses of Funds'!G83</f>
        <v>15000</v>
      </c>
      <c r="H193" s="2531"/>
      <c r="I193" s="1729"/>
      <c r="J193" s="2531">
        <f>'Part III-A-Uses of Funds'!J83</f>
        <v>15000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5000</v>
      </c>
      <c r="H194" s="2531"/>
      <c r="I194" s="1729"/>
      <c r="J194" s="2531">
        <f>'Part III-A-Uses of Funds'!J84</f>
        <v>5000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4175</v>
      </c>
      <c r="C195" s="2475" t="str">
        <f>'Part III-A-Uses of Funds'!C85</f>
        <v>Cost Segregation Study</v>
      </c>
      <c r="D195" s="2475"/>
      <c r="E195" s="2475"/>
      <c r="F195" s="2475"/>
      <c r="G195" s="2531">
        <f>'Part III-A-Uses of Funds'!G85</f>
        <v>7500</v>
      </c>
      <c r="H195" s="2531"/>
      <c r="I195" s="1729"/>
      <c r="J195" s="2531">
        <f>'Part III-A-Uses of Funds'!J85</f>
        <v>7500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757500</v>
      </c>
      <c r="H196" s="2531"/>
      <c r="I196" s="1729"/>
      <c r="J196" s="2531">
        <f>SUM(J185:J195)</f>
        <v>757500</v>
      </c>
      <c r="K196" s="2531"/>
      <c r="L196" s="2520"/>
      <c r="M196" s="2531">
        <f>SUM(M185:M195)</f>
        <v>0</v>
      </c>
      <c r="N196" s="2531"/>
      <c r="O196" s="1729"/>
      <c r="P196" s="2531">
        <f>SUM(P185:P195)</f>
        <v>0</v>
      </c>
      <c r="Q196" s="2531"/>
      <c r="R196" s="1729"/>
      <c r="S196" s="2531">
        <f>SUM(S185:S195)</f>
        <v>0</v>
      </c>
      <c r="T196" s="2531"/>
    </row>
    <row r="197" spans="1:20">
      <c r="A197" s="1729"/>
      <c r="B197" s="2501" t="s">
        <v>1191</v>
      </c>
      <c r="C197" s="1729"/>
      <c r="D197" s="2584" t="s">
        <v>3145</v>
      </c>
      <c r="E197" s="2585">
        <f>G202/'Part V-Revenues &amp; Expenses'!$P$67</f>
        <v>3516.72</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26797</v>
      </c>
      <c r="H198" s="2531"/>
      <c r="I198" s="1729"/>
      <c r="J198" s="2531">
        <f>'Part III-A-Uses of Funds'!J88</f>
        <v>26797</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101389</v>
      </c>
      <c r="H199" s="2531"/>
      <c r="I199" s="1729"/>
      <c r="J199" s="2531">
        <f>'Part III-A-Uses of Funds'!J89</f>
        <v>101389</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11200</v>
      </c>
      <c r="H200" s="2531"/>
      <c r="I200" s="377"/>
      <c r="J200" s="2531">
        <f>'Part III-A-Uses of Funds'!J90</f>
        <v>11200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36450</v>
      </c>
      <c r="H201" s="2531"/>
      <c r="I201" s="377"/>
      <c r="J201" s="2531">
        <f>'Part III-A-Uses of Funds'!J91</f>
        <v>36450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175836</v>
      </c>
      <c r="H202" s="2531"/>
      <c r="I202" s="1729"/>
      <c r="J202" s="2531">
        <f>SUM(J198:J201)</f>
        <v>175836</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5060</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32000</v>
      </c>
      <c r="H207" s="2531"/>
      <c r="I207" s="1729"/>
      <c r="J207" s="2531"/>
      <c r="K207" s="2531"/>
      <c r="L207" s="2520"/>
      <c r="M207" s="2531"/>
      <c r="N207" s="2531"/>
      <c r="O207" s="1729"/>
      <c r="P207" s="2531"/>
      <c r="Q207" s="2531"/>
      <c r="R207" s="1729"/>
      <c r="S207" s="2531">
        <f>'Part III-A-Uses of Funds'!S97</f>
        <v>32000</v>
      </c>
      <c r="T207" s="2531"/>
    </row>
    <row r="208" spans="1:20">
      <c r="A208" s="1729"/>
      <c r="B208" s="1729" t="s">
        <v>1197</v>
      </c>
      <c r="C208" s="1729"/>
      <c r="D208" s="1729"/>
      <c r="E208" s="1729"/>
      <c r="F208" s="1729"/>
      <c r="G208" s="2531">
        <f>'Part III-A-Uses of Funds'!G98</f>
        <v>10000</v>
      </c>
      <c r="H208" s="2531"/>
      <c r="I208" s="1729"/>
      <c r="J208" s="2531"/>
      <c r="K208" s="2531"/>
      <c r="L208" s="2520"/>
      <c r="M208" s="2531"/>
      <c r="N208" s="2531"/>
      <c r="O208" s="1729"/>
      <c r="P208" s="2531"/>
      <c r="Q208" s="2531"/>
      <c r="R208" s="1729"/>
      <c r="S208" s="2531">
        <f>'Part III-A-Uses of Funds'!S98</f>
        <v>10000</v>
      </c>
      <c r="T208" s="2531"/>
    </row>
    <row r="209" spans="1:20">
      <c r="A209" s="1729"/>
      <c r="B209" s="1729" t="s">
        <v>1198</v>
      </c>
      <c r="C209" s="1729"/>
      <c r="D209" s="1729"/>
      <c r="E209" s="1729"/>
      <c r="F209" s="1729"/>
      <c r="G209" s="2531">
        <f>'Part III-A-Uses of Funds'!G99</f>
        <v>42500</v>
      </c>
      <c r="H209" s="2531"/>
      <c r="I209" s="1729"/>
      <c r="J209" s="2531"/>
      <c r="K209" s="2531"/>
      <c r="L209" s="2520"/>
      <c r="M209" s="2531"/>
      <c r="N209" s="2531"/>
      <c r="O209" s="1729"/>
      <c r="P209" s="2531"/>
      <c r="Q209" s="2531"/>
      <c r="R209" s="1729"/>
      <c r="S209" s="2531">
        <f>'Part III-A-Uses of Funds'!S99</f>
        <v>42500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4176</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84500</v>
      </c>
      <c r="H213" s="2531"/>
      <c r="I213" s="1729"/>
      <c r="J213" s="2531"/>
      <c r="K213" s="2531"/>
      <c r="L213" s="2520"/>
      <c r="M213" s="2531"/>
      <c r="N213" s="2531"/>
      <c r="O213" s="1729"/>
      <c r="P213" s="2531"/>
      <c r="Q213" s="2531"/>
      <c r="R213" s="1729"/>
      <c r="S213" s="2531">
        <f>SUM(S207:S212)</f>
        <v>84500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5007</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5008</v>
      </c>
      <c r="C217" s="1729"/>
      <c r="D217" s="1729"/>
      <c r="E217" s="1729"/>
      <c r="F217" s="1729"/>
      <c r="G217" s="2531">
        <f>'Part III-A-Uses of Funds'!G107</f>
        <v>0</v>
      </c>
      <c r="H217" s="2531"/>
      <c r="I217" s="1729"/>
      <c r="J217" s="2520"/>
      <c r="K217" s="2520"/>
      <c r="L217" s="2588"/>
      <c r="M217" s="2520"/>
      <c r="N217" s="2520"/>
      <c r="O217" s="1729"/>
      <c r="P217" s="2520"/>
      <c r="Q217" s="2520"/>
      <c r="R217" s="1729"/>
      <c r="S217" s="2531">
        <f>'Part III-A-Uses of Funds'!S107</f>
        <v>0</v>
      </c>
      <c r="T217" s="2531"/>
    </row>
    <row r="218" spans="1:20">
      <c r="A218" s="1729"/>
      <c r="B218" s="1729" t="s">
        <v>485</v>
      </c>
      <c r="C218" s="1729"/>
      <c r="D218" s="1729"/>
      <c r="E218" s="2589">
        <f>ROUNDUP('DCA Underwriting Assumptions'!$Q$70*J301,0)</f>
        <v>108000</v>
      </c>
      <c r="F218" s="2589"/>
      <c r="G218" s="2531">
        <f>'Part III-A-Uses of Funds'!G108</f>
        <v>108000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108000</v>
      </c>
      <c r="T218" s="2531"/>
    </row>
    <row r="219" spans="1:20">
      <c r="A219" s="1729"/>
      <c r="B219" s="1729" t="s">
        <v>701</v>
      </c>
      <c r="C219" s="1729"/>
      <c r="D219" s="1729"/>
      <c r="E219" s="2589">
        <f>AF221+AF225</f>
        <v>0</v>
      </c>
      <c r="F219" s="2589"/>
      <c r="G219" s="2531">
        <f>'Part III-A-Uses of Funds'!G109</f>
        <v>50000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50000</v>
      </c>
      <c r="T219" s="2531"/>
    </row>
    <row r="220" spans="1:20">
      <c r="A220" s="1729"/>
      <c r="B220" s="1729" t="s">
        <v>3362</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c r="A221" s="1729"/>
      <c r="B221" s="1729" t="s">
        <v>4737</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4172</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4172</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176000</v>
      </c>
      <c r="H224" s="2531"/>
      <c r="I224" s="1729"/>
      <c r="J224" s="2520"/>
      <c r="K224" s="2520"/>
      <c r="L224" s="2520"/>
      <c r="M224" s="2520"/>
      <c r="N224" s="2520"/>
      <c r="O224" s="1729"/>
      <c r="P224" s="2520"/>
      <c r="Q224" s="2520"/>
      <c r="R224" s="1729"/>
      <c r="S224" s="2531">
        <f>SUM(S215:S223)</f>
        <v>176000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5000</v>
      </c>
      <c r="H226" s="2531"/>
      <c r="I226" s="1729"/>
      <c r="J226" s="2531"/>
      <c r="K226" s="2531"/>
      <c r="L226" s="2520"/>
      <c r="M226" s="2531"/>
      <c r="N226" s="2531"/>
      <c r="O226" s="1729"/>
      <c r="P226" s="2531"/>
      <c r="Q226" s="2531"/>
      <c r="R226" s="1729"/>
      <c r="S226" s="2531">
        <f>'Part III-A-Uses of Funds'!S116</f>
        <v>5000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55000</v>
      </c>
      <c r="H228" s="2531"/>
      <c r="I228" s="1729"/>
      <c r="J228" s="2531"/>
      <c r="K228" s="2531"/>
      <c r="L228" s="2520"/>
      <c r="M228" s="2531"/>
      <c r="N228" s="2531"/>
      <c r="O228" s="1729"/>
      <c r="P228" s="2531"/>
      <c r="Q228" s="2531"/>
      <c r="R228" s="1729"/>
      <c r="S228" s="2531">
        <f>'Part III-A-Uses of Funds'!S118</f>
        <v>55000</v>
      </c>
      <c r="T228" s="2531"/>
    </row>
    <row r="229" spans="1:20" ht="15.95" customHeight="1">
      <c r="A229" s="2554" t="str">
        <f>IF(AND(G229&gt;0,OR(C229="",C229="&lt;Enter detailed description here; use Comments section if needed&gt;")),"X","")</f>
        <v/>
      </c>
      <c r="B229" s="2507" t="s">
        <v>4172</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60000</v>
      </c>
      <c r="H230" s="2531"/>
      <c r="I230" s="1729"/>
      <c r="J230" s="2531"/>
      <c r="K230" s="2531"/>
      <c r="L230" s="2520"/>
      <c r="M230" s="2531"/>
      <c r="N230" s="2531"/>
      <c r="O230" s="1729"/>
      <c r="P230" s="2531"/>
      <c r="Q230" s="2531"/>
      <c r="R230" s="1729"/>
      <c r="S230" s="2531">
        <f>SUM(S226:S229)</f>
        <v>60000</v>
      </c>
      <c r="T230" s="2531"/>
    </row>
    <row r="231" spans="1:20" ht="13.5">
      <c r="A231" s="1729"/>
      <c r="B231" s="2501" t="s">
        <v>269</v>
      </c>
      <c r="C231" s="1729"/>
      <c r="D231" s="1729"/>
      <c r="E231" s="2544" t="s">
        <v>3800</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687500</v>
      </c>
      <c r="H232" s="2531"/>
      <c r="I232" s="1729"/>
      <c r="J232" s="2531">
        <f>'Part III-A-Uses of Funds'!J122</f>
        <v>687500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3324</v>
      </c>
      <c r="C233" s="1729"/>
      <c r="D233" s="1729"/>
      <c r="E233" s="1729"/>
      <c r="F233" s="2593">
        <f>'Part III-A-Uses of Funds'!F123</f>
        <v>650000</v>
      </c>
      <c r="G233" s="2594" t="s">
        <v>4614</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3080</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687500</v>
      </c>
      <c r="H236" s="2531"/>
      <c r="I236" s="1729"/>
      <c r="J236" s="2531">
        <f>'Part III-A-Uses of Funds'!J126</f>
        <v>687500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3796</v>
      </c>
      <c r="E237" s="2597" t="str">
        <f>IF(AF232+AF235=0,"Fill in Rent Chart!",IF(F231="9%",AH232,IF(F231="4%",AH235,"Select App Type!")))</f>
        <v>Fill in Rent Chart!</v>
      </c>
      <c r="F237" s="2555" t="s">
        <v>184</v>
      </c>
      <c r="G237" s="2531">
        <f>SUM(G232:G236)</f>
        <v>1375000</v>
      </c>
      <c r="H237" s="2531"/>
      <c r="I237" s="1729"/>
      <c r="J237" s="2531">
        <f>SUM(J232:J236)</f>
        <v>1375000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136814</v>
      </c>
      <c r="H239" s="2531"/>
      <c r="I239" s="1729"/>
      <c r="J239" s="2588"/>
      <c r="K239" s="2588"/>
      <c r="L239" s="2588"/>
      <c r="M239" s="2588"/>
      <c r="N239" s="2588"/>
      <c r="O239" s="1729"/>
      <c r="P239" s="2588"/>
      <c r="Q239" s="2588"/>
      <c r="R239" s="1729"/>
      <c r="S239" s="2531">
        <f>'Part III-A-Uses of Funds'!S129</f>
        <v>136814</v>
      </c>
      <c r="T239" s="2531"/>
    </row>
    <row r="240" spans="1:20">
      <c r="A240" s="1729"/>
      <c r="B240" s="1729" t="s">
        <v>1434</v>
      </c>
      <c r="C240" s="1729"/>
      <c r="D240" s="1729"/>
      <c r="E240" s="1729"/>
      <c r="F240" s="2598">
        <f>+'Part V-Revenues &amp; Expenses'!$Q$232*('DCA Underwriting Assumptions'!$Q$104/12)</f>
        <v>77036.75</v>
      </c>
      <c r="G240" s="2531">
        <f>'Part III-A-Uses of Funds'!G130</f>
        <v>79037</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79037</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249308.26608933415</v>
      </c>
      <c r="G241" s="2531">
        <f>'Part III-A-Uses of Funds'!G131</f>
        <v>254890</v>
      </c>
      <c r="H241" s="2531"/>
      <c r="I241" s="1729"/>
      <c r="J241" s="2599" t="str">
        <f>IF(E241&gt;G241,"WARNING! ODR proposed is below minimum - add comment.","")</f>
        <v/>
      </c>
      <c r="K241" s="2588"/>
      <c r="L241" s="2588"/>
      <c r="M241" s="2588"/>
      <c r="N241" s="2588"/>
      <c r="O241" s="1729"/>
      <c r="P241" s="2588"/>
      <c r="Q241" s="2588"/>
      <c r="R241" s="1729"/>
      <c r="S241" s="2531">
        <f>'Part III-A-Uses of Funds'!S131</f>
        <v>254890</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3054</v>
      </c>
      <c r="F243" s="2598">
        <f>IF('Part V-Revenues &amp; Expenses'!$P$67=0,0,G243/'Part V-Revenues &amp; Expenses'!$P$67)</f>
        <v>2780</v>
      </c>
      <c r="G243" s="2531">
        <f>'Part III-A-Uses of Funds'!G133</f>
        <v>139000</v>
      </c>
      <c r="H243" s="2531"/>
      <c r="I243" s="1729"/>
      <c r="J243" s="2531">
        <f>'Part III-A-Uses of Funds'!J133</f>
        <v>139000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4172</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609741</v>
      </c>
      <c r="H245" s="2531"/>
      <c r="I245" s="1729"/>
      <c r="J245" s="2531">
        <f>SUM(J243:J244)</f>
        <v>139000</v>
      </c>
      <c r="K245" s="2531"/>
      <c r="L245" s="2520"/>
      <c r="M245" s="2531">
        <f>SUM(M243:M244)</f>
        <v>0</v>
      </c>
      <c r="N245" s="2531"/>
      <c r="O245" s="1729"/>
      <c r="P245" s="2531">
        <f>SUM(P243:P244)</f>
        <v>0</v>
      </c>
      <c r="Q245" s="2531"/>
      <c r="R245" s="1729"/>
      <c r="S245" s="2531">
        <f>SUM(S239:S244)</f>
        <v>470741</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5060</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4172</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5061</v>
      </c>
      <c r="C256" s="1729"/>
      <c r="D256" s="1729"/>
      <c r="E256" s="2557"/>
      <c r="F256" s="2605"/>
      <c r="G256" s="2553">
        <f>G128+G134+G138+G146+G151+G156+G165+G183+G196+G202+G213+G224+G230+G237+G245+G254</f>
        <v>22079947</v>
      </c>
      <c r="H256" s="2553"/>
      <c r="I256" s="1729"/>
      <c r="J256" s="2553">
        <f>J128+J134+J138+J146+J151+J156+J165+J183+J196+J202+J213+J224+J230+J237+J245+J254</f>
        <v>18593631</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3486316</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5062</v>
      </c>
      <c r="C258" s="2570"/>
      <c r="D258" s="2607">
        <f>IF('Part V-Revenues &amp; Expenses'!$P$67=0,0,G256/'Part V-Revenues &amp; Expenses'!$P$67)</f>
        <v>441598.94</v>
      </c>
      <c r="E258" s="2607"/>
      <c r="F258" s="2587" t="s">
        <v>2481</v>
      </c>
      <c r="G258" s="2607">
        <f>IF('Part V-Revenues &amp; Expenses'!$K$179=0,0,G256/'Part V-Revenues &amp; Expenses'!$K$179)</f>
        <v>402.91874087591242</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18593631</v>
      </c>
      <c r="K272" s="2536"/>
      <c r="L272" s="1729"/>
      <c r="M272" s="2536">
        <f>M256</f>
        <v>0</v>
      </c>
      <c r="N272" s="2536"/>
      <c r="O272" s="1729"/>
      <c r="P272" s="2536">
        <f>P256</f>
        <v>0</v>
      </c>
      <c r="Q272" s="2536"/>
      <c r="R272" s="2612" t="s">
        <v>4749</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18593631</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1</v>
      </c>
      <c r="Q275" s="2613"/>
      <c r="R275" s="2507"/>
      <c r="S275" s="2507"/>
      <c r="T275" s="2507"/>
    </row>
    <row r="276" spans="1:20">
      <c r="A276" s="1729"/>
      <c r="B276" s="1729" t="s">
        <v>1898</v>
      </c>
      <c r="C276" s="1729"/>
      <c r="D276" s="1729"/>
      <c r="E276" s="1729"/>
      <c r="F276" s="1729"/>
      <c r="G276" s="1729"/>
      <c r="H276" s="1729"/>
      <c r="I276" s="1729"/>
      <c r="J276" s="2536">
        <f>J274*J275</f>
        <v>18593631</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18593631</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0.04</v>
      </c>
      <c r="N279" s="2613"/>
      <c r="O279" s="1729"/>
      <c r="P279" s="2613">
        <f>'Part III-A-Uses of Funds'!P169</f>
        <v>0.09</v>
      </c>
      <c r="Q279" s="2613"/>
      <c r="R279" s="1729"/>
      <c r="S279" s="1729"/>
      <c r="T279" s="1729"/>
    </row>
    <row r="280" spans="1:20">
      <c r="A280" s="1729"/>
      <c r="B280" s="1729" t="s">
        <v>2334</v>
      </c>
      <c r="C280" s="1729"/>
      <c r="D280" s="1729"/>
      <c r="E280" s="1729"/>
      <c r="F280" s="1729"/>
      <c r="G280" s="1729"/>
      <c r="H280" s="1729"/>
      <c r="I280" s="1729"/>
      <c r="J280" s="2536">
        <f>J278*J279</f>
        <v>1673426.79</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1673426</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5063</v>
      </c>
      <c r="C286" s="1729"/>
      <c r="D286" s="1729"/>
      <c r="E286" s="1729"/>
      <c r="F286" s="1729"/>
      <c r="G286" s="1729"/>
      <c r="H286" s="1729"/>
      <c r="I286" s="1729"/>
      <c r="J286" s="2536">
        <f>G256</f>
        <v>22079947</v>
      </c>
      <c r="K286" s="2536"/>
      <c r="L286" s="2536"/>
      <c r="M286" s="1729"/>
      <c r="N286" s="2612" t="s">
        <v>4608</v>
      </c>
      <c r="O286" s="2612"/>
      <c r="P286" s="2612"/>
      <c r="Q286" s="2612"/>
      <c r="R286" s="1729"/>
      <c r="S286" s="2507" t="s">
        <v>3104</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3721248</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18358699</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5">
      <c r="A290" s="1729"/>
      <c r="B290" s="1729" t="s">
        <v>1208</v>
      </c>
      <c r="C290" s="1729"/>
      <c r="D290" s="1729"/>
      <c r="E290" s="1729"/>
      <c r="F290" s="1729"/>
      <c r="G290" s="1729"/>
      <c r="H290" s="1729"/>
      <c r="I290" s="1729"/>
      <c r="J290" s="2536">
        <f>J288/10</f>
        <v>1835869.9</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5064</v>
      </c>
      <c r="C292" s="1729"/>
      <c r="D292" s="1729"/>
      <c r="E292" s="1729"/>
      <c r="F292" s="1729"/>
      <c r="G292" s="1729"/>
      <c r="H292" s="1729"/>
      <c r="I292" s="1729"/>
      <c r="J292" s="2621">
        <f>N292+Q292</f>
        <v>1.3399999999999999</v>
      </c>
      <c r="K292" s="2621"/>
      <c r="L292" s="2621"/>
      <c r="M292" s="1534" t="s">
        <v>1210</v>
      </c>
      <c r="N292" s="2622">
        <f>'Part III-A-Uses of Funds'!N182</f>
        <v>0.85</v>
      </c>
      <c r="O292" s="2622"/>
      <c r="P292" s="1534" t="s">
        <v>569</v>
      </c>
      <c r="Q292" s="2622">
        <f>'Part III-A-Uses of Funds'!Q182</f>
        <v>0.49</v>
      </c>
      <c r="R292" s="2622"/>
      <c r="S292" s="1729"/>
      <c r="T292" s="1729"/>
    </row>
    <row r="293" spans="1:20">
      <c r="A293" s="1729"/>
      <c r="B293" s="2501" t="s">
        <v>1338</v>
      </c>
      <c r="C293" s="1729"/>
      <c r="D293" s="1729"/>
      <c r="E293" s="1729"/>
      <c r="F293" s="1729"/>
      <c r="G293" s="1729"/>
      <c r="H293" s="1729"/>
      <c r="I293" s="1729"/>
      <c r="J293" s="2535">
        <f>ROUNDDOWN(IF(J292=0,"",J290/J292),0)</f>
        <v>1370052</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3808</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5065</v>
      </c>
      <c r="C297" s="1729"/>
      <c r="D297" s="1729"/>
      <c r="E297" s="1729"/>
      <c r="F297" s="1729"/>
      <c r="G297" s="1729"/>
      <c r="H297" s="1729"/>
      <c r="I297" s="1729"/>
      <c r="J297" s="2535">
        <f>'Part III-A-Uses of Funds'!J187</f>
        <v>1350000</v>
      </c>
      <c r="K297" s="2535"/>
      <c r="L297" s="2535"/>
      <c r="M297" s="1729"/>
      <c r="N297" s="1729"/>
      <c r="O297" s="1729"/>
      <c r="P297" s="1729"/>
      <c r="Q297" s="2507" t="s">
        <v>4144</v>
      </c>
      <c r="R297" s="2507"/>
      <c r="S297" s="2507" t="str">
        <f>'Part VIII Scoring Criteria'!$J$12</f>
        <v>Atlanta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5066</v>
      </c>
      <c r="C299" s="1729"/>
      <c r="D299" s="1729"/>
      <c r="E299" s="1729"/>
      <c r="F299" s="1729"/>
      <c r="G299" s="1729"/>
      <c r="H299" s="1729"/>
      <c r="I299" s="1729"/>
      <c r="J299" s="2535">
        <f>'Part III-A-Uses of Funds'!J189</f>
        <v>1350000</v>
      </c>
      <c r="K299" s="2535"/>
      <c r="L299" s="2535"/>
      <c r="M299" s="2625" t="str">
        <f>IF(J297=0,"",IF(J299&gt;J297,"Request can't exceed Maximum - REVISE (Try Round Down)!",""))</f>
        <v/>
      </c>
      <c r="N299" s="2625"/>
      <c r="O299" s="2625"/>
      <c r="P299" s="2625"/>
      <c r="Q299" s="2594" t="s">
        <v>4438</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5067</v>
      </c>
      <c r="C301" s="1729"/>
      <c r="D301" s="377"/>
      <c r="E301" s="377"/>
      <c r="F301" s="2508"/>
      <c r="G301" s="1729"/>
      <c r="H301" s="1729"/>
      <c r="I301" s="1729"/>
      <c r="J301" s="2535">
        <f>IF(J299="",0,+MIN(J297,J299))</f>
        <v>1350000</v>
      </c>
      <c r="K301" s="2535"/>
      <c r="L301" s="2535"/>
      <c r="M301" s="2625"/>
      <c r="N301" s="2625"/>
      <c r="O301" s="2625"/>
      <c r="P301" s="2625"/>
      <c r="Q301" s="402" t="s">
        <v>3800</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xml:space="preserve">* To all applicants: in addition to your other comments, please provide methodology for determining applicable construction hard costs.
Construction hard costs were determined by the estimate received from the general contractor: Woda Construction, Inc. This estimate is included in the submission. </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Lewis Crossing  -  Atlanta  -  Fulton,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3131</v>
      </c>
      <c r="B309" s="2629"/>
      <c r="C309" s="2629"/>
      <c r="D309" s="2629"/>
      <c r="E309" s="2629"/>
      <c r="F309" s="2629"/>
      <c r="G309" s="2629"/>
      <c r="H309" s="2629"/>
    </row>
    <row r="310" spans="1:20" s="2628" customFormat="1" ht="6" customHeight="1"/>
    <row r="311" spans="1:20" s="2628" customFormat="1" ht="38.25" customHeight="1">
      <c r="A311" s="2630" t="s">
        <v>5068</v>
      </c>
      <c r="B311" s="2630"/>
      <c r="C311" s="2630"/>
      <c r="D311" s="2630"/>
      <c r="F311" s="2631" t="s">
        <v>3123</v>
      </c>
      <c r="G311" s="2632"/>
      <c r="H311" s="2631" t="s">
        <v>3124</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3126</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3126</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3126</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3125</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3126</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3126</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3126</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Cost Segregation Study</v>
      </c>
      <c r="B348" s="2636"/>
      <c r="C348" s="2636"/>
      <c r="D348" s="2636"/>
      <c r="F348" s="2637" t="str">
        <f>'Part III-B-Other Items'!F42</f>
        <v>The cost segregation study breaks development costs into 5-year, 7.5-year, 15-year, and 27.5-year depreciation classes as permitted by the internal revenue code.  This will be required by the tax credit investor to substantiate bonus depreciation assumptions.</v>
      </c>
      <c r="G348" s="2635"/>
      <c r="H348" s="2637" t="str">
        <f>'Part III-B-Other Items'!H42</f>
        <v>The cost segregation study can be capitalized to the depreciable building.  It is similar to an appraisal in that regard.</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3126</v>
      </c>
      <c r="B351" s="2639">
        <f>'Part III-A-Uses of Funds'!$G$85</f>
        <v>7500</v>
      </c>
      <c r="C351" s="2638" t="s">
        <v>1660</v>
      </c>
      <c r="D351" s="2639">
        <f>'Part III-A-Uses of Funds'!$J$85+'Part III-A-Uses of Funds'!$M$85+'Part III-A-Uses of Funds'!$P$85</f>
        <v>7500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3126</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5069</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3126</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3126</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5070</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3126</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3126</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5071</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3126</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Lewis Crossing,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4628</v>
      </c>
      <c r="I393" s="1657" t="str">
        <f>'Part IV-Utility Allowances'!I3</f>
        <v>Local PHA</v>
      </c>
      <c r="J393" s="1657"/>
    </row>
    <row r="395" spans="1:13">
      <c r="A395" s="2645" t="s">
        <v>5072</v>
      </c>
    </row>
    <row r="397" spans="1:13">
      <c r="A397" s="360" t="s">
        <v>572</v>
      </c>
      <c r="B397" s="360" t="s">
        <v>2054</v>
      </c>
      <c r="F397" s="358" t="s">
        <v>2311</v>
      </c>
      <c r="G397" s="358"/>
      <c r="H397" s="358"/>
      <c r="I397" s="358" t="str">
        <f>'Part IV-Utility Allowances'!I7</f>
        <v>Atlanta Housing Authority</v>
      </c>
      <c r="J397" s="358"/>
      <c r="K397" s="358"/>
      <c r="L397" s="358"/>
      <c r="M397" s="358"/>
    </row>
    <row r="398" spans="1:13">
      <c r="A398" s="360"/>
      <c r="F398" s="358" t="s">
        <v>592</v>
      </c>
      <c r="G398" s="358"/>
      <c r="H398" s="358"/>
      <c r="I398" s="2646">
        <f>'Part IV-Utility Allowances'!I8</f>
        <v>45108</v>
      </c>
      <c r="J398" s="2646"/>
      <c r="K398" s="1804" t="s">
        <v>504</v>
      </c>
      <c r="L398" s="358" t="str">
        <f>'Part IV-Utility Allowances'!L8</f>
        <v>Low-Rise Elevator</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14</v>
      </c>
      <c r="K402" s="1804">
        <f>'Part IV-Utility Allowances'!K12</f>
        <v>17</v>
      </c>
      <c r="L402" s="1804">
        <f>'Part IV-Utility Allowances'!L12</f>
        <v>19</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13</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16</v>
      </c>
      <c r="K404" s="1804">
        <f>'Part IV-Utility Allowances'!K14</f>
        <v>20</v>
      </c>
      <c r="L404" s="1804">
        <f>'Part IV-Utility Allowances'!L14</f>
        <v>25</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12</v>
      </c>
      <c r="K405" s="1804">
        <f>'Part IV-Utility Allowances'!K15</f>
        <v>19</v>
      </c>
      <c r="L405" s="1804">
        <f>'Part IV-Utility Allowances'!L15</f>
        <v>28</v>
      </c>
      <c r="M405" s="1804">
        <f>'Part IV-Utility Allowances'!M15</f>
        <v>0</v>
      </c>
    </row>
    <row r="406" spans="1:13">
      <c r="B406" s="358" t="s">
        <v>3186</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3187</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3188</v>
      </c>
      <c r="C408" s="358"/>
      <c r="D408" s="358" t="s">
        <v>1489</v>
      </c>
      <c r="F408" s="2647" t="str">
        <f>'Part IV-Utility Allowances'!F18</f>
        <v>X</v>
      </c>
      <c r="G408" s="2647">
        <f>'Part IV-Utility Allowances'!G18</f>
        <v>0</v>
      </c>
      <c r="I408" s="1804">
        <f>'Part IV-Utility Allowances'!I18</f>
        <v>0</v>
      </c>
      <c r="J408" s="1804">
        <f>'Part IV-Utility Allowances'!J18</f>
        <v>44</v>
      </c>
      <c r="K408" s="1804">
        <f>'Part IV-Utility Allowances'!K18</f>
        <v>55</v>
      </c>
      <c r="L408" s="1804">
        <f>'Part IV-Utility Allowances'!L18</f>
        <v>65</v>
      </c>
      <c r="M408" s="1804">
        <f>'Part IV-Utility Allowances'!M18</f>
        <v>0</v>
      </c>
    </row>
    <row r="409" spans="1:13">
      <c r="B409" s="358" t="s">
        <v>1290</v>
      </c>
      <c r="C409" s="358"/>
      <c r="D409" s="358" t="s">
        <v>5031</v>
      </c>
      <c r="E409" s="1804" t="str">
        <f>'Part IV-Utility Allowances'!E19</f>
        <v>Yes</v>
      </c>
      <c r="F409" s="2647" t="str">
        <f>'Part IV-Utility Allowances'!F19</f>
        <v>X</v>
      </c>
      <c r="G409" s="2647">
        <f>'Part IV-Utility Allowances'!G19</f>
        <v>0</v>
      </c>
      <c r="I409" s="1804">
        <f>'Part IV-Utility Allowances'!I19</f>
        <v>0</v>
      </c>
      <c r="J409" s="1804">
        <f>'Part IV-Utility Allowances'!J19</f>
        <v>75</v>
      </c>
      <c r="K409" s="1804">
        <f>'Part IV-Utility Allowances'!K19</f>
        <v>117</v>
      </c>
      <c r="L409" s="1804">
        <f>'Part IV-Utility Allowances'!L19</f>
        <v>164</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168</v>
      </c>
      <c r="K412" s="2647">
        <f>IF(SUM(K402:K411)=0,0,IF(OR($D402="&lt;&lt;Select Fuel &gt;&gt;",$D403="&lt;&lt;Select Fuel &gt;&gt;",$D404="&lt;&lt;Select Fuel &gt;&gt;"),"Select Fuel",IF($E409="&lt;Select&gt;","Submeter?",SUM(K402:K411))))</f>
        <v>238</v>
      </c>
      <c r="L412" s="2647">
        <f>IF(SUM(L402:L411)=0,0,IF(OR($D402="&lt;&lt;Select Fuel &gt;&gt;",$D403="&lt;&lt;Select Fuel &gt;&gt;",$D404="&lt;&lt;Select Fuel &gt;&gt;"),"Select Fuel",IF($E409="&lt;Select&gt;","Submeter?",SUM(L402:L411))))</f>
        <v>314</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3186</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3187</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3188</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5031</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5032</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Lewis Crossing,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Lewis Crossing,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3994</v>
      </c>
      <c r="E442" s="2518"/>
      <c r="F442" s="2518"/>
      <c r="G442" s="2518"/>
      <c r="H442" s="2518"/>
      <c r="I442" s="2518"/>
      <c r="J442" s="2518"/>
      <c r="K442" s="1657"/>
      <c r="L442" s="1657"/>
      <c r="M442" s="1657"/>
      <c r="O442" s="2649" t="s">
        <v>533</v>
      </c>
      <c r="P442" s="2650" t="str">
        <f>'Part I-Project Identification'!$O$29</f>
        <v>Atlanta-Sandy Springs-Marietta</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2963</v>
      </c>
      <c r="MG442" s="359" t="s">
        <v>2964</v>
      </c>
      <c r="MH442" s="359" t="s">
        <v>2965</v>
      </c>
      <c r="MI442" s="359" t="s">
        <v>2966</v>
      </c>
      <c r="MJ442" s="359" t="s">
        <v>2967</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5073</v>
      </c>
      <c r="R443" s="2652"/>
      <c r="X443" s="359" t="s">
        <v>3562</v>
      </c>
      <c r="Y443" s="359" t="s">
        <v>3563</v>
      </c>
      <c r="Z443" s="359" t="s">
        <v>3564</v>
      </c>
      <c r="AA443" s="359" t="s">
        <v>3565</v>
      </c>
      <c r="AB443" s="359" t="s">
        <v>3566</v>
      </c>
      <c r="AC443" s="359" t="s">
        <v>3567</v>
      </c>
      <c r="AD443" s="359" t="s">
        <v>3568</v>
      </c>
      <c r="AE443" s="359" t="s">
        <v>3569</v>
      </c>
      <c r="AF443" s="359" t="s">
        <v>3570</v>
      </c>
      <c r="AG443" s="359" t="s">
        <v>3571</v>
      </c>
      <c r="AH443" s="359" t="s">
        <v>860</v>
      </c>
      <c r="AI443" s="359" t="s">
        <v>704</v>
      </c>
      <c r="AJ443" s="359" t="s">
        <v>705</v>
      </c>
      <c r="AK443" s="359" t="s">
        <v>706</v>
      </c>
      <c r="AL443" s="359" t="s">
        <v>707</v>
      </c>
      <c r="AM443" s="359" t="s">
        <v>861</v>
      </c>
      <c r="AN443" s="359" t="s">
        <v>2125</v>
      </c>
      <c r="AO443" s="359" t="s">
        <v>2126</v>
      </c>
      <c r="AP443" s="359" t="s">
        <v>2127</v>
      </c>
      <c r="AQ443" s="359" t="s">
        <v>2128</v>
      </c>
      <c r="AR443" s="359" t="s">
        <v>3573</v>
      </c>
      <c r="AS443" s="359" t="s">
        <v>3574</v>
      </c>
      <c r="AT443" s="359" t="s">
        <v>3575</v>
      </c>
      <c r="AU443" s="359" t="s">
        <v>3576</v>
      </c>
      <c r="AV443" s="359" t="s">
        <v>3572</v>
      </c>
      <c r="AW443" s="359" t="s">
        <v>862</v>
      </c>
      <c r="AX443" s="359" t="s">
        <v>2129</v>
      </c>
      <c r="AY443" s="359" t="s">
        <v>2130</v>
      </c>
      <c r="AZ443" s="359" t="s">
        <v>2131</v>
      </c>
      <c r="BA443" s="359" t="s">
        <v>2132</v>
      </c>
      <c r="BB443" s="359" t="s">
        <v>3577</v>
      </c>
      <c r="BC443" s="359" t="s">
        <v>3578</v>
      </c>
      <c r="BD443" s="359" t="s">
        <v>3579</v>
      </c>
      <c r="BE443" s="359" t="s">
        <v>3580</v>
      </c>
      <c r="BF443" s="359" t="s">
        <v>3581</v>
      </c>
      <c r="BG443" s="359" t="s">
        <v>123</v>
      </c>
      <c r="BH443" s="359" t="s">
        <v>2133</v>
      </c>
      <c r="BI443" s="359" t="s">
        <v>2134</v>
      </c>
      <c r="BJ443" s="359" t="s">
        <v>2135</v>
      </c>
      <c r="BK443" s="359" t="s">
        <v>1079</v>
      </c>
      <c r="BL443" s="359" t="s">
        <v>3582</v>
      </c>
      <c r="BM443" s="359" t="s">
        <v>3583</v>
      </c>
      <c r="BN443" s="359" t="s">
        <v>3584</v>
      </c>
      <c r="BO443" s="359" t="s">
        <v>3585</v>
      </c>
      <c r="BP443" s="359" t="s">
        <v>3586</v>
      </c>
      <c r="BQ443" s="359" t="s">
        <v>516</v>
      </c>
      <c r="BR443" s="359" t="s">
        <v>517</v>
      </c>
      <c r="BS443" s="359" t="s">
        <v>534</v>
      </c>
      <c r="BT443" s="359" t="s">
        <v>535</v>
      </c>
      <c r="BU443" s="359" t="s">
        <v>536</v>
      </c>
      <c r="BV443" s="359" t="s">
        <v>3587</v>
      </c>
      <c r="BW443" s="359" t="s">
        <v>3588</v>
      </c>
      <c r="BX443" s="359" t="s">
        <v>3589</v>
      </c>
      <c r="BY443" s="359" t="s">
        <v>3590</v>
      </c>
      <c r="BZ443" s="359" t="s">
        <v>3591</v>
      </c>
      <c r="CA443" s="359" t="s">
        <v>537</v>
      </c>
      <c r="CB443" s="359" t="s">
        <v>538</v>
      </c>
      <c r="CC443" s="359" t="s">
        <v>539</v>
      </c>
      <c r="CD443" s="359" t="s">
        <v>540</v>
      </c>
      <c r="CE443" s="359" t="s">
        <v>541</v>
      </c>
      <c r="CF443" s="359" t="s">
        <v>542</v>
      </c>
      <c r="CG443" s="359" t="s">
        <v>543</v>
      </c>
      <c r="CH443" s="359" t="s">
        <v>871</v>
      </c>
      <c r="CI443" s="359" t="s">
        <v>872</v>
      </c>
      <c r="CJ443" s="359" t="s">
        <v>873</v>
      </c>
      <c r="CK443" s="359" t="s">
        <v>3597</v>
      </c>
      <c r="CL443" s="359" t="s">
        <v>3598</v>
      </c>
      <c r="CM443" s="359" t="s">
        <v>3599</v>
      </c>
      <c r="CN443" s="359" t="s">
        <v>3600</v>
      </c>
      <c r="CO443" s="359" t="s">
        <v>3601</v>
      </c>
      <c r="CP443" s="359" t="s">
        <v>3592</v>
      </c>
      <c r="CQ443" s="359" t="s">
        <v>3593</v>
      </c>
      <c r="CR443" s="359" t="s">
        <v>3594</v>
      </c>
      <c r="CS443" s="359" t="s">
        <v>3595</v>
      </c>
      <c r="CT443" s="359" t="s">
        <v>3596</v>
      </c>
      <c r="CU443" s="359" t="s">
        <v>3602</v>
      </c>
      <c r="CV443" s="359" t="s">
        <v>3603</v>
      </c>
      <c r="CW443" s="359" t="s">
        <v>3604</v>
      </c>
      <c r="CX443" s="359" t="s">
        <v>3605</v>
      </c>
      <c r="CY443" s="359" t="s">
        <v>3606</v>
      </c>
      <c r="CZ443" s="359" t="s">
        <v>465</v>
      </c>
      <c r="DA443" s="359" t="s">
        <v>466</v>
      </c>
      <c r="DB443" s="359" t="s">
        <v>467</v>
      </c>
      <c r="DC443" s="359" t="s">
        <v>468</v>
      </c>
      <c r="DD443" s="359" t="s">
        <v>469</v>
      </c>
      <c r="DE443" s="359" t="s">
        <v>3607</v>
      </c>
      <c r="DF443" s="359" t="s">
        <v>3608</v>
      </c>
      <c r="DG443" s="359" t="s">
        <v>3609</v>
      </c>
      <c r="DH443" s="359" t="s">
        <v>3610</v>
      </c>
      <c r="DI443" s="359" t="s">
        <v>3611</v>
      </c>
      <c r="DJ443" s="359" t="s">
        <v>821</v>
      </c>
      <c r="DK443" s="359" t="s">
        <v>822</v>
      </c>
      <c r="DL443" s="359" t="s">
        <v>823</v>
      </c>
      <c r="DM443" s="359" t="s">
        <v>824</v>
      </c>
      <c r="DN443" s="359" t="s">
        <v>825</v>
      </c>
      <c r="DO443" s="359" t="s">
        <v>826</v>
      </c>
      <c r="DP443" s="359" t="s">
        <v>827</v>
      </c>
      <c r="DQ443" s="359" t="s">
        <v>828</v>
      </c>
      <c r="DR443" s="359" t="s">
        <v>829</v>
      </c>
      <c r="DS443" s="359" t="s">
        <v>830</v>
      </c>
      <c r="DT443" s="359" t="s">
        <v>3612</v>
      </c>
      <c r="DU443" s="359" t="s">
        <v>3613</v>
      </c>
      <c r="DV443" s="359" t="s">
        <v>3614</v>
      </c>
      <c r="DW443" s="359" t="s">
        <v>3615</v>
      </c>
      <c r="DX443" s="359" t="s">
        <v>3616</v>
      </c>
      <c r="DY443" s="359" t="s">
        <v>3617</v>
      </c>
      <c r="DZ443" s="359" t="s">
        <v>3618</v>
      </c>
      <c r="EA443" s="359" t="s">
        <v>3619</v>
      </c>
      <c r="EB443" s="359" t="s">
        <v>3620</v>
      </c>
      <c r="EC443" s="359" t="s">
        <v>3621</v>
      </c>
      <c r="ED443" s="359" t="s">
        <v>2229</v>
      </c>
      <c r="EE443" s="359" t="s">
        <v>2230</v>
      </c>
      <c r="EF443" s="359" t="s">
        <v>2231</v>
      </c>
      <c r="EG443" s="359" t="s">
        <v>2232</v>
      </c>
      <c r="EH443" s="359" t="s">
        <v>2233</v>
      </c>
      <c r="EI443" s="359" t="s">
        <v>3622</v>
      </c>
      <c r="EJ443" s="359" t="s">
        <v>3623</v>
      </c>
      <c r="EK443" s="359" t="s">
        <v>3624</v>
      </c>
      <c r="EL443" s="359" t="s">
        <v>3625</v>
      </c>
      <c r="EM443" s="359" t="s">
        <v>3626</v>
      </c>
      <c r="EN443" s="359" t="s">
        <v>3627</v>
      </c>
      <c r="EO443" s="359" t="s">
        <v>3628</v>
      </c>
      <c r="EP443" s="359" t="s">
        <v>3629</v>
      </c>
      <c r="EQ443" s="359" t="s">
        <v>3630</v>
      </c>
      <c r="ER443" s="359" t="s">
        <v>3631</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3632</v>
      </c>
      <c r="FD443" s="359" t="s">
        <v>3633</v>
      </c>
      <c r="FE443" s="359" t="s">
        <v>3634</v>
      </c>
      <c r="FF443" s="359" t="s">
        <v>3635</v>
      </c>
      <c r="FG443" s="359" t="s">
        <v>3636</v>
      </c>
      <c r="FH443" s="359" t="s">
        <v>125</v>
      </c>
      <c r="FI443" s="359" t="s">
        <v>852</v>
      </c>
      <c r="FJ443" s="359" t="s">
        <v>853</v>
      </c>
      <c r="FK443" s="359" t="s">
        <v>854</v>
      </c>
      <c r="FL443" s="359" t="s">
        <v>855</v>
      </c>
      <c r="FM443" s="359" t="s">
        <v>3637</v>
      </c>
      <c r="FN443" s="359" t="s">
        <v>3638</v>
      </c>
      <c r="FO443" s="359" t="s">
        <v>3639</v>
      </c>
      <c r="FP443" s="359" t="s">
        <v>3640</v>
      </c>
      <c r="FQ443" s="359" t="s">
        <v>3641</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5074</v>
      </c>
      <c r="D444" s="2518"/>
      <c r="E444" s="2518"/>
      <c r="F444" s="2518"/>
      <c r="G444" s="1804" t="str">
        <f>'Part V-Revenues &amp; Expenses'!G6</f>
        <v>&lt;Select&gt;</v>
      </c>
      <c r="H444" s="2654" t="s">
        <v>3997</v>
      </c>
      <c r="I444" s="2654"/>
      <c r="J444" s="2654"/>
      <c r="K444" s="2655" t="s">
        <v>3052</v>
      </c>
      <c r="L444" s="2656" t="str">
        <f>'Part I-Project Identification'!$A$6</f>
        <v>2024 May 7</v>
      </c>
      <c r="M444" s="2656"/>
      <c r="N444" s="2656"/>
      <c r="O444" s="2657" t="s">
        <v>5075</v>
      </c>
      <c r="P444" s="2658">
        <f>'Part V-Revenues &amp; Expenses'!P6</f>
        <v>106600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2958</v>
      </c>
      <c r="ML444" s="1418" t="s">
        <v>2959</v>
      </c>
      <c r="MM444" s="1418" t="s">
        <v>2960</v>
      </c>
      <c r="MN444" s="1418" t="s">
        <v>2961</v>
      </c>
      <c r="MO444" s="1418" t="s">
        <v>2962</v>
      </c>
      <c r="MP444" s="359" t="s">
        <v>4177</v>
      </c>
      <c r="MQ444" s="359" t="s">
        <v>4178</v>
      </c>
      <c r="MR444" s="359" t="s">
        <v>4179</v>
      </c>
      <c r="MS444" s="359" t="s">
        <v>4180</v>
      </c>
      <c r="MT444" s="359" t="s">
        <v>4181</v>
      </c>
    </row>
    <row r="445" spans="1:358" s="358" customFormat="1" ht="12.6" customHeight="1">
      <c r="A445" s="2653"/>
      <c r="B445" s="2659" t="s">
        <v>3996</v>
      </c>
      <c r="E445" s="1657"/>
      <c r="G445" s="1804" t="str">
        <f>'Part V-Revenues &amp; Expenses'!G7</f>
        <v>No</v>
      </c>
      <c r="I445" s="1546" t="s">
        <v>3939</v>
      </c>
      <c r="J445" s="2655" t="s">
        <v>741</v>
      </c>
      <c r="K445" s="2655" t="s">
        <v>3099</v>
      </c>
      <c r="L445" s="2656"/>
      <c r="M445" s="2656"/>
      <c r="N445" s="2656"/>
      <c r="O445" s="2660" t="s">
        <v>3976</v>
      </c>
      <c r="P445" s="2661">
        <f>'Part V-Revenues &amp; Expenses'!P7</f>
        <v>45383</v>
      </c>
      <c r="Q445" s="2651"/>
      <c r="R445" s="1657" t="s">
        <v>2451</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3644</v>
      </c>
      <c r="I446" s="1546"/>
      <c r="J446" s="2655" t="s">
        <v>742</v>
      </c>
      <c r="K446" s="2655" t="s">
        <v>3100</v>
      </c>
      <c r="N446" s="2662" t="s">
        <v>4376</v>
      </c>
      <c r="O446" s="2507" t="str">
        <f>'Part V-Revenues &amp; Expenses'!O8</f>
        <v>HUD</v>
      </c>
      <c r="P446" s="2507"/>
      <c r="Q446" s="2651"/>
      <c r="R446" s="1657"/>
      <c r="S446" s="2647" t="s">
        <v>2448</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3645</v>
      </c>
      <c r="C447" s="2655" t="s">
        <v>165</v>
      </c>
      <c r="D447" s="2655" t="s">
        <v>509</v>
      </c>
      <c r="E447" s="2655" t="s">
        <v>1380</v>
      </c>
      <c r="F447" s="2655" t="s">
        <v>1380</v>
      </c>
      <c r="G447" s="1546" t="s">
        <v>3992</v>
      </c>
      <c r="H447" s="2652" t="s">
        <v>3218</v>
      </c>
      <c r="I447" s="1546"/>
      <c r="J447" s="2663" t="s">
        <v>3986</v>
      </c>
      <c r="K447" s="2655" t="s">
        <v>5076</v>
      </c>
      <c r="L447" s="1546" t="s">
        <v>139</v>
      </c>
      <c r="M447" s="1546"/>
      <c r="N447" s="2655" t="s">
        <v>2178</v>
      </c>
      <c r="O447" s="2655" t="s">
        <v>4379</v>
      </c>
      <c r="P447" s="2651" t="s">
        <v>5077</v>
      </c>
      <c r="Q447" s="2651"/>
      <c r="R447" s="2655" t="s">
        <v>2447</v>
      </c>
      <c r="S447" s="2655" t="s">
        <v>2449</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2929</v>
      </c>
      <c r="IK447" s="359" t="s">
        <v>2929</v>
      </c>
      <c r="IL447" s="359" t="s">
        <v>2929</v>
      </c>
      <c r="IM447" s="359" t="s">
        <v>2929</v>
      </c>
      <c r="IN447" s="359" t="s">
        <v>2929</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4182</v>
      </c>
      <c r="IZ447" s="359" t="s">
        <v>4182</v>
      </c>
      <c r="JA447" s="359" t="s">
        <v>4182</v>
      </c>
      <c r="JB447" s="359" t="s">
        <v>4182</v>
      </c>
      <c r="JC447" s="359" t="s">
        <v>4182</v>
      </c>
      <c r="JD447" s="359" t="s">
        <v>4183</v>
      </c>
      <c r="JE447" s="359" t="s">
        <v>4183</v>
      </c>
      <c r="JF447" s="359" t="s">
        <v>4183</v>
      </c>
      <c r="JG447" s="359" t="s">
        <v>4183</v>
      </c>
      <c r="JH447" s="359" t="s">
        <v>4183</v>
      </c>
      <c r="JI447" s="359" t="s">
        <v>4185</v>
      </c>
      <c r="JJ447" s="359" t="s">
        <v>4185</v>
      </c>
      <c r="JK447" s="359" t="s">
        <v>4185</v>
      </c>
      <c r="JL447" s="359" t="s">
        <v>4185</v>
      </c>
      <c r="JM447" s="359" t="s">
        <v>4185</v>
      </c>
      <c r="JN447" s="359" t="s">
        <v>4186</v>
      </c>
      <c r="JO447" s="359" t="s">
        <v>4186</v>
      </c>
      <c r="JP447" s="359" t="s">
        <v>4186</v>
      </c>
      <c r="JQ447" s="359" t="s">
        <v>4186</v>
      </c>
      <c r="JR447" s="359" t="s">
        <v>4186</v>
      </c>
      <c r="JS447" s="359" t="s">
        <v>4187</v>
      </c>
      <c r="JT447" s="359" t="s">
        <v>4187</v>
      </c>
      <c r="JU447" s="359" t="s">
        <v>4187</v>
      </c>
      <c r="JV447" s="359" t="s">
        <v>4187</v>
      </c>
      <c r="JW447" s="359" t="s">
        <v>4187</v>
      </c>
      <c r="JX447" s="359" t="s">
        <v>4380</v>
      </c>
      <c r="JY447" s="359" t="s">
        <v>4380</v>
      </c>
      <c r="JZ447" s="359" t="s">
        <v>4380</v>
      </c>
      <c r="KA447" s="359" t="s">
        <v>4380</v>
      </c>
      <c r="KB447" s="359" t="s">
        <v>4380</v>
      </c>
      <c r="KC447" s="359" t="s">
        <v>5078</v>
      </c>
      <c r="KD447" s="359" t="s">
        <v>5078</v>
      </c>
      <c r="KE447" s="359" t="s">
        <v>5078</v>
      </c>
      <c r="KF447" s="359" t="s">
        <v>5078</v>
      </c>
      <c r="KG447" s="359" t="s">
        <v>5078</v>
      </c>
      <c r="KH447" s="359" t="s">
        <v>4543</v>
      </c>
      <c r="KI447" s="359" t="s">
        <v>4543</v>
      </c>
      <c r="KJ447" s="359" t="s">
        <v>4543</v>
      </c>
      <c r="KK447" s="359" t="s">
        <v>4543</v>
      </c>
      <c r="KL447" s="359" t="s">
        <v>4543</v>
      </c>
      <c r="KM447" s="359" t="s">
        <v>4189</v>
      </c>
      <c r="KN447" s="359" t="s">
        <v>4189</v>
      </c>
      <c r="KO447" s="359" t="s">
        <v>4189</v>
      </c>
      <c r="KP447" s="359" t="s">
        <v>4189</v>
      </c>
      <c r="KQ447" s="359" t="s">
        <v>4189</v>
      </c>
      <c r="KR447" s="359" t="s">
        <v>4381</v>
      </c>
      <c r="KS447" s="359" t="s">
        <v>4381</v>
      </c>
      <c r="KT447" s="359" t="s">
        <v>4381</v>
      </c>
      <c r="KU447" s="359" t="s">
        <v>4381</v>
      </c>
      <c r="KV447" s="359" t="s">
        <v>4381</v>
      </c>
      <c r="KW447" s="359" t="s">
        <v>4544</v>
      </c>
      <c r="KX447" s="359" t="s">
        <v>4544</v>
      </c>
      <c r="KY447" s="359" t="s">
        <v>4544</v>
      </c>
      <c r="KZ447" s="359" t="s">
        <v>4544</v>
      </c>
      <c r="LA447" s="359" t="s">
        <v>4544</v>
      </c>
      <c r="LB447" s="359" t="s">
        <v>4545</v>
      </c>
      <c r="LC447" s="359" t="s">
        <v>4545</v>
      </c>
      <c r="LD447" s="359" t="s">
        <v>4545</v>
      </c>
      <c r="LE447" s="359" t="s">
        <v>4545</v>
      </c>
      <c r="LF447" s="359" t="s">
        <v>4545</v>
      </c>
      <c r="MK447" s="1418"/>
      <c r="ML447" s="1418"/>
      <c r="MM447" s="1418"/>
      <c r="MN447" s="1418"/>
      <c r="MO447" s="1418"/>
    </row>
    <row r="448" spans="1:358" s="359" customFormat="1" ht="11.25" customHeight="1">
      <c r="A448" s="2653"/>
      <c r="B448" s="2664" t="s">
        <v>3806</v>
      </c>
      <c r="C448" s="2655" t="s">
        <v>164</v>
      </c>
      <c r="D448" s="2655" t="s">
        <v>166</v>
      </c>
      <c r="E448" s="2655" t="s">
        <v>1381</v>
      </c>
      <c r="F448" s="2655" t="s">
        <v>1201</v>
      </c>
      <c r="G448" s="1546"/>
      <c r="H448" s="2655" t="s">
        <v>3993</v>
      </c>
      <c r="I448" s="1546"/>
      <c r="J448" s="2663"/>
      <c r="K448" s="2665" t="s">
        <v>334</v>
      </c>
      <c r="L448" s="2655" t="s">
        <v>1430</v>
      </c>
      <c r="M448" s="2655" t="s">
        <v>503</v>
      </c>
      <c r="N448" s="2655" t="s">
        <v>1380</v>
      </c>
      <c r="O448" s="2655" t="s">
        <v>4393</v>
      </c>
      <c r="P448" s="2651"/>
      <c r="Q448" s="2651"/>
      <c r="R448" s="2655" t="s">
        <v>1382</v>
      </c>
      <c r="S448" s="2655" t="s">
        <v>2450</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2930</v>
      </c>
      <c r="IU448" s="1794" t="s">
        <v>2930</v>
      </c>
      <c r="IV448" s="1794" t="s">
        <v>2930</v>
      </c>
      <c r="IW448" s="1794" t="s">
        <v>2930</v>
      </c>
      <c r="IX448" s="1794" t="s">
        <v>2930</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4302</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4303</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4304</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4305</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4306</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4307</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4308</v>
      </c>
    </row>
    <row r="456" spans="1:380" ht="13.9" customHeight="1">
      <c r="A456" s="2647" t="str">
        <f t="shared" si="0"/>
        <v/>
      </c>
      <c r="B456" s="2666">
        <f>'Part V-Revenues &amp; Expenses'!B18</f>
        <v>50</v>
      </c>
      <c r="C456" s="2667">
        <f>'Part V-Revenues &amp; Expenses'!C18</f>
        <v>1</v>
      </c>
      <c r="D456" s="2668">
        <f>'Part V-Revenues &amp; Expenses'!D18</f>
        <v>1</v>
      </c>
      <c r="E456" s="2669">
        <f>'Part V-Revenues &amp; Expenses'!E18</f>
        <v>18</v>
      </c>
      <c r="F456" s="2669">
        <f>'Part V-Revenues &amp; Expenses'!F18</f>
        <v>811</v>
      </c>
      <c r="G456" s="2669">
        <f>'Part V-Revenues &amp; Expenses'!G18</f>
        <v>1008</v>
      </c>
      <c r="H456" s="2669">
        <f>'Part V-Revenues &amp; Expenses'!H18</f>
        <v>1003</v>
      </c>
      <c r="I456" s="2669">
        <f>'Part V-Revenues &amp; Expenses'!I18</f>
        <v>0</v>
      </c>
      <c r="J456" s="2669">
        <f>'Part V-Revenues &amp; Expenses'!J18</f>
        <v>168</v>
      </c>
      <c r="K456" s="2670">
        <f>'Part V-Revenues &amp; Expenses'!K18</f>
        <v>0</v>
      </c>
      <c r="L456" s="2671">
        <f t="shared" si="1"/>
        <v>835</v>
      </c>
      <c r="M456" s="2671">
        <f t="shared" si="2"/>
        <v>15030</v>
      </c>
      <c r="N456" s="2540" t="str">
        <f>'Part V-Revenues &amp; Expenses'!N18</f>
        <v>No</v>
      </c>
      <c r="O456" s="1257" t="str">
        <f>'Part V-Revenues &amp; Expenses'!O18</f>
        <v>Low-Rise Elevator</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18</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14598</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18</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18</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f t="shared" si="264"/>
        <v>18</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18</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4309</v>
      </c>
    </row>
    <row r="457" spans="1:380" ht="13.9" customHeight="1">
      <c r="A457" s="2647" t="str">
        <f t="shared" si="0"/>
        <v/>
      </c>
      <c r="B457" s="2666">
        <f>'Part V-Revenues &amp; Expenses'!B19</f>
        <v>60</v>
      </c>
      <c r="C457" s="2667">
        <f>'Part V-Revenues &amp; Expenses'!C19</f>
        <v>1</v>
      </c>
      <c r="D457" s="2668">
        <f>'Part V-Revenues &amp; Expenses'!D19</f>
        <v>1</v>
      </c>
      <c r="E457" s="2669">
        <f>'Part V-Revenues &amp; Expenses'!E19</f>
        <v>14</v>
      </c>
      <c r="F457" s="2669">
        <f>'Part V-Revenues &amp; Expenses'!F19</f>
        <v>811</v>
      </c>
      <c r="G457" s="2669">
        <f>'Part V-Revenues &amp; Expenses'!G19</f>
        <v>1209</v>
      </c>
      <c r="H457" s="2669">
        <f>'Part V-Revenues &amp; Expenses'!H19</f>
        <v>1168</v>
      </c>
      <c r="I457" s="2669">
        <f>'Part V-Revenues &amp; Expenses'!I19</f>
        <v>0</v>
      </c>
      <c r="J457" s="2669">
        <f>'Part V-Revenues &amp; Expenses'!J19</f>
        <v>168</v>
      </c>
      <c r="K457" s="2670">
        <f>'Part V-Revenues &amp; Expenses'!K19</f>
        <v>0</v>
      </c>
      <c r="L457" s="2671">
        <f t="shared" si="1"/>
        <v>1000</v>
      </c>
      <c r="M457" s="2671">
        <f t="shared" si="2"/>
        <v>14000</v>
      </c>
      <c r="N457" s="2540" t="str">
        <f>'Part V-Revenues &amp; Expenses'!N19</f>
        <v>No</v>
      </c>
      <c r="O457" s="1257" t="str">
        <f>'Part V-Revenues &amp; Expenses'!O19</f>
        <v>Low-Rise Elevator</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14</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11354</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14</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14</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f t="shared" si="264"/>
        <v>14</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14</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4310</v>
      </c>
    </row>
    <row r="458" spans="1:380" ht="13.9" customHeight="1">
      <c r="A458" s="2647" t="str">
        <f t="shared" si="0"/>
        <v/>
      </c>
      <c r="B458" s="2666">
        <f>'Part V-Revenues &amp; Expenses'!B20</f>
        <v>80</v>
      </c>
      <c r="C458" s="2667">
        <f>'Part V-Revenues &amp; Expenses'!C20</f>
        <v>1</v>
      </c>
      <c r="D458" s="2668">
        <f>'Part V-Revenues &amp; Expenses'!D20</f>
        <v>1</v>
      </c>
      <c r="E458" s="2669">
        <f>'Part V-Revenues &amp; Expenses'!E20</f>
        <v>5</v>
      </c>
      <c r="F458" s="2669">
        <f>'Part V-Revenues &amp; Expenses'!F20</f>
        <v>811</v>
      </c>
      <c r="G458" s="2669">
        <f>'Part V-Revenues &amp; Expenses'!G20</f>
        <v>1613</v>
      </c>
      <c r="H458" s="2669">
        <f>'Part V-Revenues &amp; Expenses'!H20</f>
        <v>1298</v>
      </c>
      <c r="I458" s="2669">
        <f>'Part V-Revenues &amp; Expenses'!I20</f>
        <v>0</v>
      </c>
      <c r="J458" s="2669">
        <f>'Part V-Revenues &amp; Expenses'!J20</f>
        <v>168</v>
      </c>
      <c r="K458" s="2670">
        <f>'Part V-Revenues &amp; Expenses'!K20</f>
        <v>0</v>
      </c>
      <c r="L458" s="2671">
        <f t="shared" si="1"/>
        <v>1130</v>
      </c>
      <c r="M458" s="2671">
        <f t="shared" si="2"/>
        <v>5650</v>
      </c>
      <c r="N458" s="2540" t="str">
        <f>'Part V-Revenues &amp; Expenses'!N20</f>
        <v>No</v>
      </c>
      <c r="O458" s="1257" t="str">
        <f>'Part V-Revenues &amp; Expenses'!O20</f>
        <v>Low-Rise Elevator</v>
      </c>
      <c r="P458" s="2540" t="str">
        <f>'Part V-Revenues &amp; Expenses'!P20</f>
        <v>New Construction</v>
      </c>
      <c r="Q458" s="1805" t="str">
        <f>'Part V-Revenues &amp; Expenses'!Q20</f>
        <v>No</v>
      </c>
      <c r="R458" s="2672"/>
      <c r="S458" s="2673"/>
      <c r="T458" s="2674"/>
      <c r="U458" s="2674"/>
      <c r="V458" s="2674"/>
      <c r="W458" s="2674"/>
      <c r="X458" s="356" t="str">
        <f t="shared" si="3"/>
        <v/>
      </c>
      <c r="Y458" s="356">
        <f t="shared" si="4"/>
        <v>5</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f t="shared" si="74"/>
        <v>5</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f t="shared" si="119"/>
        <v>4055</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5</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5</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f t="shared" si="264"/>
        <v>5</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5</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4311</v>
      </c>
    </row>
    <row r="459" spans="1:380" ht="13.9" customHeight="1">
      <c r="A459" s="2647" t="str">
        <f t="shared" si="0"/>
        <v/>
      </c>
      <c r="B459" s="2666">
        <f>'Part V-Revenues &amp; Expenses'!B21</f>
        <v>0</v>
      </c>
      <c r="C459" s="2667">
        <f>'Part V-Revenues &amp; Expenses'!C21</f>
        <v>0</v>
      </c>
      <c r="D459" s="2668">
        <f>'Part V-Revenues &amp; Expenses'!D21</f>
        <v>0</v>
      </c>
      <c r="E459" s="2669">
        <f>'Part V-Revenues &amp; Expenses'!E21</f>
        <v>0</v>
      </c>
      <c r="F459" s="2669">
        <f>'Part V-Revenues &amp; Expenses'!F21</f>
        <v>0</v>
      </c>
      <c r="G459" s="2669">
        <f>'Part V-Revenues &amp; Expenses'!G21</f>
        <v>0</v>
      </c>
      <c r="H459" s="2669">
        <f>'Part V-Revenues &amp; Expenses'!H21</f>
        <v>0</v>
      </c>
      <c r="I459" s="2669">
        <f>'Part V-Revenues &amp; Expenses'!I21</f>
        <v>0</v>
      </c>
      <c r="J459" s="2669">
        <f>'Part V-Revenues &amp; Expenses'!J21</f>
        <v>0</v>
      </c>
      <c r="K459" s="2670">
        <f>'Part V-Revenues &amp; Expenses'!K21</f>
        <v>0</v>
      </c>
      <c r="L459" s="2671">
        <f t="shared" si="1"/>
        <v>0</v>
      </c>
      <c r="M459" s="2671">
        <f t="shared" si="2"/>
        <v>0</v>
      </c>
      <c r="N459" s="2540">
        <f>'Part V-Revenues &amp; Expenses'!N21</f>
        <v>0</v>
      </c>
      <c r="O459" s="1257">
        <f>'Part V-Revenues &amp; Expenses'!O21</f>
        <v>0</v>
      </c>
      <c r="P459" s="2540">
        <f>'Part V-Revenues &amp; Expenses'!P21</f>
        <v>0</v>
      </c>
      <c r="Q459" s="1805">
        <f>'Part V-Revenues &amp; Expenses'!Q21</f>
        <v>0</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4312</v>
      </c>
    </row>
    <row r="460" spans="1:380" ht="13.9" customHeight="1">
      <c r="A460" s="2647" t="str">
        <f t="shared" si="0"/>
        <v/>
      </c>
      <c r="B460" s="2666">
        <f>'Part V-Revenues &amp; Expenses'!B22</f>
        <v>50</v>
      </c>
      <c r="C460" s="2667">
        <f>'Part V-Revenues &amp; Expenses'!C22</f>
        <v>2</v>
      </c>
      <c r="D460" s="2668">
        <f>'Part V-Revenues &amp; Expenses'!D22</f>
        <v>1</v>
      </c>
      <c r="E460" s="2669">
        <f>'Part V-Revenues &amp; Expenses'!E22</f>
        <v>4</v>
      </c>
      <c r="F460" s="2669">
        <f>'Part V-Revenues &amp; Expenses'!F22</f>
        <v>915</v>
      </c>
      <c r="G460" s="2669">
        <f>'Part V-Revenues &amp; Expenses'!G22</f>
        <v>1210</v>
      </c>
      <c r="H460" s="2669">
        <f>'Part V-Revenues &amp; Expenses'!H22</f>
        <v>1203</v>
      </c>
      <c r="I460" s="2669">
        <f>'Part V-Revenues &amp; Expenses'!I22</f>
        <v>0</v>
      </c>
      <c r="J460" s="2669">
        <f>'Part V-Revenues &amp; Expenses'!J22</f>
        <v>238</v>
      </c>
      <c r="K460" s="2670">
        <f>'Part V-Revenues &amp; Expenses'!K22</f>
        <v>0</v>
      </c>
      <c r="L460" s="2671">
        <f t="shared" si="1"/>
        <v>965</v>
      </c>
      <c r="M460" s="2671">
        <f t="shared" si="2"/>
        <v>3860</v>
      </c>
      <c r="N460" s="2540" t="str">
        <f>'Part V-Revenues &amp; Expenses'!N22</f>
        <v>No</v>
      </c>
      <c r="O460" s="1257" t="str">
        <f>'Part V-Revenues &amp; Expenses'!O22</f>
        <v>Low-Rise Elevator</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f t="shared" si="20"/>
        <v>4</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f t="shared" si="135"/>
        <v>3660</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4</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4</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f t="shared" si="265"/>
        <v>4</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4</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4313</v>
      </c>
    </row>
    <row r="461" spans="1:380" ht="13.9" customHeight="1">
      <c r="A461" s="2647" t="str">
        <f t="shared" si="0"/>
        <v/>
      </c>
      <c r="B461" s="2666">
        <f>'Part V-Revenues &amp; Expenses'!B23</f>
        <v>60</v>
      </c>
      <c r="C461" s="2667">
        <f>'Part V-Revenues &amp; Expenses'!C23</f>
        <v>2</v>
      </c>
      <c r="D461" s="2668">
        <f>'Part V-Revenues &amp; Expenses'!D23</f>
        <v>1</v>
      </c>
      <c r="E461" s="2669">
        <f>'Part V-Revenues &amp; Expenses'!E23</f>
        <v>3</v>
      </c>
      <c r="F461" s="2669">
        <f>'Part V-Revenues &amp; Expenses'!F23</f>
        <v>915</v>
      </c>
      <c r="G461" s="2669">
        <f>'Part V-Revenues &amp; Expenses'!G23</f>
        <v>1452</v>
      </c>
      <c r="H461" s="2669">
        <f>'Part V-Revenues &amp; Expenses'!H23</f>
        <v>1403</v>
      </c>
      <c r="I461" s="2669">
        <f>'Part V-Revenues &amp; Expenses'!I23</f>
        <v>0</v>
      </c>
      <c r="J461" s="2669">
        <f>'Part V-Revenues &amp; Expenses'!J23</f>
        <v>238</v>
      </c>
      <c r="K461" s="2670">
        <f>'Part V-Revenues &amp; Expenses'!K23</f>
        <v>0</v>
      </c>
      <c r="L461" s="2671">
        <f t="shared" si="1"/>
        <v>1165</v>
      </c>
      <c r="M461" s="2671">
        <f t="shared" si="2"/>
        <v>3495</v>
      </c>
      <c r="N461" s="2540" t="str">
        <f>'Part V-Revenues &amp; Expenses'!N23</f>
        <v>No</v>
      </c>
      <c r="O461" s="1257" t="str">
        <f>'Part V-Revenues &amp; Expenses'!O23</f>
        <v>Low-Rise Elevator</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f t="shared" si="15"/>
        <v>3</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f t="shared" si="130"/>
        <v>2745</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3</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3</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f t="shared" si="265"/>
        <v>3</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3</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4314</v>
      </c>
    </row>
    <row r="462" spans="1:380" ht="13.9" customHeight="1">
      <c r="A462" s="2647" t="str">
        <f t="shared" si="0"/>
        <v/>
      </c>
      <c r="B462" s="2666">
        <f>'Part V-Revenues &amp; Expenses'!B24</f>
        <v>80</v>
      </c>
      <c r="C462" s="2667">
        <f>'Part V-Revenues &amp; Expenses'!C24</f>
        <v>2</v>
      </c>
      <c r="D462" s="2668">
        <f>'Part V-Revenues &amp; Expenses'!D24</f>
        <v>1</v>
      </c>
      <c r="E462" s="2669">
        <f>'Part V-Revenues &amp; Expenses'!E24</f>
        <v>1</v>
      </c>
      <c r="F462" s="2669">
        <f>'Part V-Revenues &amp; Expenses'!F24</f>
        <v>915</v>
      </c>
      <c r="G462" s="2669">
        <f>'Part V-Revenues &amp; Expenses'!G24</f>
        <v>1936</v>
      </c>
      <c r="H462" s="2669">
        <f>'Part V-Revenues &amp; Expenses'!H24</f>
        <v>1538</v>
      </c>
      <c r="I462" s="2669">
        <f>'Part V-Revenues &amp; Expenses'!I24</f>
        <v>0</v>
      </c>
      <c r="J462" s="2669">
        <f>'Part V-Revenues &amp; Expenses'!J24</f>
        <v>238</v>
      </c>
      <c r="K462" s="2670">
        <f>'Part V-Revenues &amp; Expenses'!K24</f>
        <v>0</v>
      </c>
      <c r="L462" s="2671">
        <f t="shared" si="1"/>
        <v>1300</v>
      </c>
      <c r="M462" s="2671">
        <f t="shared" si="2"/>
        <v>1300</v>
      </c>
      <c r="N462" s="2540" t="str">
        <f>'Part V-Revenues &amp; Expenses'!N24</f>
        <v>No</v>
      </c>
      <c r="O462" s="1257" t="str">
        <f>'Part V-Revenues &amp; Expenses'!O24</f>
        <v>Low-Rise Elevator</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f t="shared" si="5"/>
        <v>1</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f t="shared" si="75"/>
        <v>1</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f t="shared" si="120"/>
        <v>915</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f t="shared" si="170"/>
        <v>1</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f t="shared" si="215"/>
        <v>1</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f t="shared" si="265"/>
        <v>1</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1</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4315</v>
      </c>
    </row>
    <row r="463" spans="1:380" ht="13.9"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4316</v>
      </c>
    </row>
    <row r="464" spans="1:380" ht="13.9" customHeight="1">
      <c r="A464" s="2647" t="str">
        <f t="shared" si="0"/>
        <v/>
      </c>
      <c r="B464" s="2666">
        <f>'Part V-Revenues &amp; Expenses'!B26</f>
        <v>50</v>
      </c>
      <c r="C464" s="2667">
        <f>'Part V-Revenues &amp; Expenses'!C26</f>
        <v>3</v>
      </c>
      <c r="D464" s="2668">
        <f>'Part V-Revenues &amp; Expenses'!D26</f>
        <v>2</v>
      </c>
      <c r="E464" s="2669">
        <f>'Part V-Revenues &amp; Expenses'!E26</f>
        <v>3</v>
      </c>
      <c r="F464" s="2669">
        <f>'Part V-Revenues &amp; Expenses'!F26</f>
        <v>1179</v>
      </c>
      <c r="G464" s="2669">
        <f>'Part V-Revenues &amp; Expenses'!G26</f>
        <v>1397</v>
      </c>
      <c r="H464" s="2669">
        <f>'Part V-Revenues &amp; Expenses'!H26</f>
        <v>1389</v>
      </c>
      <c r="I464" s="2669">
        <f>'Part V-Revenues &amp; Expenses'!I26</f>
        <v>0</v>
      </c>
      <c r="J464" s="2669">
        <f>'Part V-Revenues &amp; Expenses'!J26</f>
        <v>314</v>
      </c>
      <c r="K464" s="2670">
        <f>'Part V-Revenues &amp; Expenses'!K26</f>
        <v>0</v>
      </c>
      <c r="L464" s="2671">
        <f t="shared" si="1"/>
        <v>1075</v>
      </c>
      <c r="M464" s="2671">
        <f t="shared" si="2"/>
        <v>3225</v>
      </c>
      <c r="N464" s="2540" t="str">
        <f>'Part V-Revenues &amp; Expenses'!N26</f>
        <v>No</v>
      </c>
      <c r="O464" s="1257" t="str">
        <f>'Part V-Revenues &amp; Expenses'!O26</f>
        <v>Low-Rise Elevator</v>
      </c>
      <c r="P464" s="2540" t="str">
        <f>'Part V-Revenues &amp; Expenses'!P26</f>
        <v>New Construction</v>
      </c>
      <c r="Q464" s="1805" t="str">
        <f>'Part V-Revenues &amp; Expenses'!Q26</f>
        <v>No</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f t="shared" si="21"/>
        <v>3</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f t="shared" si="136"/>
        <v>3537</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f t="shared" si="171"/>
        <v>3</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f t="shared" si="216"/>
        <v>3</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f t="shared" si="266"/>
        <v>3</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3</v>
      </c>
      <c r="MO464" s="1658">
        <f t="shared" si="337"/>
        <v>0</v>
      </c>
      <c r="MP464" s="1658">
        <f t="shared" si="328"/>
        <v>0</v>
      </c>
      <c r="MQ464" s="1658">
        <f t="shared" si="329"/>
        <v>0</v>
      </c>
      <c r="MR464" s="1658">
        <f t="shared" si="330"/>
        <v>0</v>
      </c>
      <c r="MS464" s="1658">
        <f t="shared" si="331"/>
        <v>0</v>
      </c>
      <c r="MT464" s="1658">
        <f t="shared" si="332"/>
        <v>0</v>
      </c>
      <c r="NP464" s="356" t="s">
        <v>4317</v>
      </c>
    </row>
    <row r="465" spans="1:380" ht="13.9" customHeight="1">
      <c r="A465" s="2647" t="str">
        <f t="shared" si="0"/>
        <v/>
      </c>
      <c r="B465" s="2666">
        <f>'Part V-Revenues &amp; Expenses'!B27</f>
        <v>60</v>
      </c>
      <c r="C465" s="2667">
        <f>'Part V-Revenues &amp; Expenses'!C27</f>
        <v>3</v>
      </c>
      <c r="D465" s="2668">
        <f>'Part V-Revenues &amp; Expenses'!D27</f>
        <v>2</v>
      </c>
      <c r="E465" s="2669">
        <f>'Part V-Revenues &amp; Expenses'!E27</f>
        <v>1</v>
      </c>
      <c r="F465" s="2669">
        <f>'Part V-Revenues &amp; Expenses'!F27</f>
        <v>1179</v>
      </c>
      <c r="G465" s="2669">
        <f>'Part V-Revenues &amp; Expenses'!G27</f>
        <v>1677</v>
      </c>
      <c r="H465" s="2669">
        <f>'Part V-Revenues &amp; Expenses'!H27</f>
        <v>1619</v>
      </c>
      <c r="I465" s="2669">
        <f>'Part V-Revenues &amp; Expenses'!I27</f>
        <v>0</v>
      </c>
      <c r="J465" s="2669">
        <f>'Part V-Revenues &amp; Expenses'!J27</f>
        <v>314</v>
      </c>
      <c r="K465" s="2670">
        <f>'Part V-Revenues &amp; Expenses'!K27</f>
        <v>0</v>
      </c>
      <c r="L465" s="2671">
        <f t="shared" si="1"/>
        <v>1305</v>
      </c>
      <c r="M465" s="2671">
        <f t="shared" si="2"/>
        <v>1305</v>
      </c>
      <c r="N465" s="2540" t="str">
        <f>'Part V-Revenues &amp; Expenses'!N27</f>
        <v>No</v>
      </c>
      <c r="O465" s="1257" t="str">
        <f>'Part V-Revenues &amp; Expenses'!O27</f>
        <v>Low-Rise Elevator</v>
      </c>
      <c r="P465" s="2540" t="str">
        <f>'Part V-Revenues &amp; Expenses'!P27</f>
        <v>New Construction</v>
      </c>
      <c r="Q465" s="1805" t="str">
        <f>'Part V-Revenues &amp; Expenses'!Q27</f>
        <v>No</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f t="shared" si="16"/>
        <v>1</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f t="shared" si="131"/>
        <v>1179</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f t="shared" si="171"/>
        <v>1</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f t="shared" si="216"/>
        <v>1</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f t="shared" si="266"/>
        <v>1</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1</v>
      </c>
      <c r="MO465" s="1658">
        <f t="shared" si="337"/>
        <v>0</v>
      </c>
      <c r="MP465" s="1658">
        <f t="shared" si="328"/>
        <v>0</v>
      </c>
      <c r="MQ465" s="1658">
        <f t="shared" si="329"/>
        <v>0</v>
      </c>
      <c r="MR465" s="1658">
        <f t="shared" si="330"/>
        <v>0</v>
      </c>
      <c r="MS465" s="1658">
        <f t="shared" si="331"/>
        <v>0</v>
      </c>
      <c r="MT465" s="1658">
        <f t="shared" si="332"/>
        <v>0</v>
      </c>
      <c r="NP465" s="356" t="s">
        <v>4318</v>
      </c>
    </row>
    <row r="466" spans="1:380" ht="13.9" customHeight="1">
      <c r="A466" s="2647" t="str">
        <f t="shared" si="0"/>
        <v/>
      </c>
      <c r="B466" s="2666">
        <f>'Part V-Revenues &amp; Expenses'!B28</f>
        <v>80</v>
      </c>
      <c r="C466" s="2667">
        <f>'Part V-Revenues &amp; Expenses'!C28</f>
        <v>3</v>
      </c>
      <c r="D466" s="2668">
        <f>'Part V-Revenues &amp; Expenses'!D28</f>
        <v>2</v>
      </c>
      <c r="E466" s="2669">
        <f>'Part V-Revenues &amp; Expenses'!E28</f>
        <v>1</v>
      </c>
      <c r="F466" s="2669">
        <f>'Part V-Revenues &amp; Expenses'!F28</f>
        <v>1179</v>
      </c>
      <c r="G466" s="2669">
        <f>'Part V-Revenues &amp; Expenses'!G28</f>
        <v>2236</v>
      </c>
      <c r="H466" s="2669">
        <f>'Part V-Revenues &amp; Expenses'!H28</f>
        <v>1744</v>
      </c>
      <c r="I466" s="2669">
        <f>'Part V-Revenues &amp; Expenses'!I28</f>
        <v>0</v>
      </c>
      <c r="J466" s="2669">
        <f>'Part V-Revenues &amp; Expenses'!J28</f>
        <v>314</v>
      </c>
      <c r="K466" s="2670">
        <f>'Part V-Revenues &amp; Expenses'!K28</f>
        <v>0</v>
      </c>
      <c r="L466" s="2671">
        <f t="shared" si="1"/>
        <v>1430</v>
      </c>
      <c r="M466" s="2671">
        <f t="shared" si="2"/>
        <v>1430</v>
      </c>
      <c r="N466" s="2540" t="str">
        <f>'Part V-Revenues &amp; Expenses'!N28</f>
        <v>No</v>
      </c>
      <c r="O466" s="1257" t="str">
        <f>'Part V-Revenues &amp; Expenses'!O28</f>
        <v>Low-Rise Elevator</v>
      </c>
      <c r="P466" s="2540" t="str">
        <f>'Part V-Revenues &amp; Expenses'!P28</f>
        <v>New Construction</v>
      </c>
      <c r="Q466" s="1805" t="str">
        <f>'Part V-Revenues &amp; Expenses'!Q28</f>
        <v>No</v>
      </c>
      <c r="R466" s="2672"/>
      <c r="S466" s="2673"/>
      <c r="T466" s="2674"/>
      <c r="U466" s="2674"/>
      <c r="V466" s="2674"/>
      <c r="W466" s="2674"/>
      <c r="X466" s="356" t="str">
        <f t="shared" si="3"/>
        <v/>
      </c>
      <c r="Y466" s="356" t="str">
        <f t="shared" si="4"/>
        <v/>
      </c>
      <c r="Z466" s="356" t="str">
        <f t="shared" si="5"/>
        <v/>
      </c>
      <c r="AA466" s="356">
        <f t="shared" si="6"/>
        <v>1</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f t="shared" si="76"/>
        <v>1</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f t="shared" si="121"/>
        <v>1179</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f t="shared" si="171"/>
        <v>1</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f t="shared" si="216"/>
        <v>1</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f t="shared" si="266"/>
        <v>1</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1</v>
      </c>
      <c r="MO466" s="1658">
        <f t="shared" si="337"/>
        <v>0</v>
      </c>
      <c r="MP466" s="1658">
        <f t="shared" si="328"/>
        <v>0</v>
      </c>
      <c r="MQ466" s="1658">
        <f t="shared" si="329"/>
        <v>0</v>
      </c>
      <c r="MR466" s="1658">
        <f t="shared" si="330"/>
        <v>0</v>
      </c>
      <c r="MS466" s="1658">
        <f t="shared" si="331"/>
        <v>0</v>
      </c>
      <c r="MT466" s="1658">
        <f t="shared" si="332"/>
        <v>0</v>
      </c>
      <c r="NP466" s="356" t="s">
        <v>4319</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4320</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4321</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4322</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4323</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4324</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4325</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4326</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4327</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4328</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4329</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4330</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4331</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4332</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4333</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4334</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4335</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4336</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4337</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4338</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4339</v>
      </c>
    </row>
    <row r="487" spans="1:380" ht="13.9" customHeight="1">
      <c r="A487" s="2647">
        <f>COUNT(A449,A450,A451,A452,A453,A454,A455,A456,A457,A458,A459,A460,A461,A462,A463,A464,A465,A466,A467,A468,A469,A470,A471,A472,A473,A474,A475,A476,A477,A478)</f>
        <v>0</v>
      </c>
      <c r="B487" s="2675" t="s">
        <v>3649</v>
      </c>
      <c r="C487" s="2675"/>
      <c r="D487" s="2676" t="s">
        <v>953</v>
      </c>
      <c r="E487" s="2677">
        <f>SUM(E449:E486)</f>
        <v>50</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43222</v>
      </c>
      <c r="H487" s="2679" t="s">
        <v>3646</v>
      </c>
      <c r="I487" s="2680" t="s">
        <v>3647</v>
      </c>
      <c r="J487" s="2681" t="str">
        <f>IF(P505=0,"",IF(SUM(P496:P500)/P505&gt;=0.4,"Pass","Fail"))</f>
        <v>Pass</v>
      </c>
      <c r="K487" s="362"/>
      <c r="L487" s="2682" t="s">
        <v>1223</v>
      </c>
      <c r="M487" s="2683">
        <f>SUM(M449:M486)</f>
        <v>49295</v>
      </c>
      <c r="N487" s="358"/>
      <c r="O487" s="358"/>
      <c r="P487" s="358"/>
      <c r="Q487" s="358"/>
      <c r="R487" s="358"/>
      <c r="S487" s="358"/>
      <c r="T487" s="358"/>
      <c r="U487" s="358"/>
      <c r="V487" s="2655"/>
      <c r="W487" s="1659"/>
      <c r="X487" s="1659">
        <f t="shared" ref="X487:FA487" si="338">SUM(X449:X486)</f>
        <v>0</v>
      </c>
      <c r="Y487" s="1659">
        <f t="shared" si="338"/>
        <v>5</v>
      </c>
      <c r="Z487" s="1659">
        <f t="shared" si="338"/>
        <v>1</v>
      </c>
      <c r="AA487" s="1659">
        <f t="shared" si="338"/>
        <v>1</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14</v>
      </c>
      <c r="AJ487" s="1659">
        <f t="shared" si="338"/>
        <v>3</v>
      </c>
      <c r="AK487" s="1659">
        <f t="shared" si="338"/>
        <v>1</v>
      </c>
      <c r="AL487" s="1659">
        <f t="shared" si="338"/>
        <v>0</v>
      </c>
      <c r="AM487" s="1659">
        <f>SUM(AM449:AM486)</f>
        <v>0</v>
      </c>
      <c r="AN487" s="1659">
        <f>SUM(AN449:AN486)</f>
        <v>18</v>
      </c>
      <c r="AO487" s="1659">
        <f>SUM(AO449:AO486)</f>
        <v>4</v>
      </c>
      <c r="AP487" s="1659">
        <f>SUM(AP449:AP486)</f>
        <v>3</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5</v>
      </c>
      <c r="CR487" s="1659">
        <f t="shared" si="339"/>
        <v>1</v>
      </c>
      <c r="CS487" s="1659">
        <f t="shared" si="339"/>
        <v>1</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4055</v>
      </c>
      <c r="EK487" s="1659">
        <f t="shared" si="338"/>
        <v>915</v>
      </c>
      <c r="EL487" s="1659">
        <f t="shared" si="338"/>
        <v>1179</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11354</v>
      </c>
      <c r="EU487" s="1659">
        <f t="shared" si="338"/>
        <v>2745</v>
      </c>
      <c r="EV487" s="1659">
        <f t="shared" si="338"/>
        <v>1179</v>
      </c>
      <c r="EW487" s="1659">
        <f t="shared" si="338"/>
        <v>0</v>
      </c>
      <c r="EX487" s="1659">
        <f t="shared" si="338"/>
        <v>0</v>
      </c>
      <c r="EY487" s="1659">
        <f t="shared" si="338"/>
        <v>14598</v>
      </c>
      <c r="EZ487" s="1659">
        <f t="shared" si="338"/>
        <v>3660</v>
      </c>
      <c r="FA487" s="1659">
        <f t="shared" si="338"/>
        <v>3537</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37</v>
      </c>
      <c r="GI487" s="1659">
        <f t="shared" si="340"/>
        <v>8</v>
      </c>
      <c r="GJ487" s="1659">
        <f t="shared" si="340"/>
        <v>5</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37</v>
      </c>
      <c r="IB487" s="1659">
        <f t="shared" si="341"/>
        <v>8</v>
      </c>
      <c r="IC487" s="1659">
        <f t="shared" si="341"/>
        <v>5</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37</v>
      </c>
      <c r="JZ487" s="1659">
        <f>SUM(JZ449:JZ486)</f>
        <v>8</v>
      </c>
      <c r="KA487" s="1659">
        <f>SUM(KA449:KA486)</f>
        <v>5</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37</v>
      </c>
      <c r="MM487" s="1659">
        <f t="shared" si="343"/>
        <v>8</v>
      </c>
      <c r="MN487" s="1659">
        <f t="shared" si="343"/>
        <v>5</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4340</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57.8</v>
      </c>
      <c r="C488" s="2684"/>
      <c r="D488" s="2647" t="s">
        <v>3556</v>
      </c>
      <c r="E488" s="2677">
        <f>SUM(E456:E486)</f>
        <v>50</v>
      </c>
      <c r="F488" s="2678">
        <f>(E456*F456+E457*F457+E458*F458+E459*F459+E460*F460+E461*F461+E462*F462+E463*F463+E464*F464+E465*F465+E466*F466+E467*F467+E468*F468+E469*F469+E470*F470+E471*F471+E472*F472+E473*F473+E474*F474+E475*F475+E476*F476+E477*F477+E478*F478+E479*F479+E480*F480+E481*F481+E482*F482+E483*F483+E484*F484+E485*F485+E486*F486)</f>
        <v>43222</v>
      </c>
      <c r="H488" s="2679"/>
      <c r="I488" s="2680" t="s">
        <v>3648</v>
      </c>
      <c r="J488" s="2681" t="str">
        <f>IF(P505=0,"",IF(SUM(P497:P500)/P505&gt;=0.2,"Pass","Fail"))</f>
        <v>Pass</v>
      </c>
      <c r="K488" s="362"/>
      <c r="L488" s="2676" t="s">
        <v>756</v>
      </c>
      <c r="M488" s="2683">
        <f>M487*12</f>
        <v>591540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4341</v>
      </c>
    </row>
    <row r="489" spans="1:380" ht="6.95" customHeight="1">
      <c r="A489" s="2563" t="s">
        <v>5079</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4536</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4538</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4390</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3944</v>
      </c>
      <c r="B494" s="2687"/>
      <c r="C494" s="358" t="s">
        <v>1068</v>
      </c>
      <c r="D494" s="358"/>
      <c r="E494" s="358"/>
      <c r="F494" s="358"/>
      <c r="H494" s="1418" t="s">
        <v>3557</v>
      </c>
      <c r="I494" s="361"/>
      <c r="K494" s="2688">
        <f>X487</f>
        <v>0</v>
      </c>
      <c r="L494" s="2688">
        <f>Y487</f>
        <v>5</v>
      </c>
      <c r="M494" s="2688">
        <f>Z487</f>
        <v>1</v>
      </c>
      <c r="N494" s="2688">
        <f>AA487</f>
        <v>1</v>
      </c>
      <c r="O494" s="2688">
        <f>AB487</f>
        <v>0</v>
      </c>
      <c r="P494" s="2688">
        <f t="shared" ref="P494:P505" si="344">SUM(K494:O494)</f>
        <v>7</v>
      </c>
      <c r="Q494" s="2507" t="s">
        <v>3101</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3558</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14</v>
      </c>
      <c r="M496" s="2688">
        <f>AJ487</f>
        <v>3</v>
      </c>
      <c r="N496" s="2688">
        <f>AK487</f>
        <v>1</v>
      </c>
      <c r="O496" s="2688">
        <f>AL487</f>
        <v>0</v>
      </c>
      <c r="P496" s="2688">
        <f t="shared" si="344"/>
        <v>18</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18</v>
      </c>
      <c r="M497" s="2688">
        <f>AO487</f>
        <v>4</v>
      </c>
      <c r="N497" s="2688">
        <f>AP487</f>
        <v>3</v>
      </c>
      <c r="O497" s="2688">
        <f>AQ487</f>
        <v>0</v>
      </c>
      <c r="P497" s="2688">
        <f t="shared" si="344"/>
        <v>25</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3559</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3560</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3561</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3643</v>
      </c>
      <c r="D501" s="358"/>
      <c r="E501" s="358"/>
      <c r="F501" s="358"/>
      <c r="H501" s="359"/>
      <c r="I501" s="794"/>
      <c r="K501" s="2688">
        <f>SUM(K494:K500)</f>
        <v>0</v>
      </c>
      <c r="L501" s="2688">
        <f>SUM(L494:L500)</f>
        <v>37</v>
      </c>
      <c r="M501" s="2688">
        <f>SUM(M494:M500)</f>
        <v>8</v>
      </c>
      <c r="N501" s="2688">
        <f>SUM(N494:N500)</f>
        <v>5</v>
      </c>
      <c r="O501" s="2688">
        <f>SUM(O494:O500)</f>
        <v>0</v>
      </c>
      <c r="P501" s="2688">
        <f t="shared" si="344"/>
        <v>50</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37</v>
      </c>
      <c r="M503" s="2693">
        <f>SUM(M501:M502)</f>
        <v>8</v>
      </c>
      <c r="N503" s="2693">
        <f>SUM(N501:N502)</f>
        <v>5</v>
      </c>
      <c r="O503" s="2693">
        <f>SUM(O501:O502)</f>
        <v>0</v>
      </c>
      <c r="P503" s="2693">
        <f t="shared" si="344"/>
        <v>50</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3102</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37</v>
      </c>
      <c r="M505" s="2694">
        <f>SUM(M503:M504)</f>
        <v>8</v>
      </c>
      <c r="N505" s="2694">
        <f>SUM(N503:N504)</f>
        <v>5</v>
      </c>
      <c r="O505" s="2694">
        <f>SUM(O503:O504)</f>
        <v>0</v>
      </c>
      <c r="P505" s="2694">
        <f t="shared" si="344"/>
        <v>50</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3650</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3557</v>
      </c>
      <c r="I508" s="361"/>
      <c r="J508" s="2696"/>
      <c r="K508" s="2697" t="str">
        <f t="shared" ref="K508:P508" si="345">IF(OR(K494=0,K505=0),"",K494/K505)</f>
        <v/>
      </c>
      <c r="L508" s="2697">
        <f t="shared" si="345"/>
        <v>0.13513513513513514</v>
      </c>
      <c r="M508" s="2697">
        <f t="shared" si="345"/>
        <v>0.125</v>
      </c>
      <c r="N508" s="2697">
        <f t="shared" si="345"/>
        <v>0.2</v>
      </c>
      <c r="O508" s="2697" t="str">
        <f t="shared" si="345"/>
        <v/>
      </c>
      <c r="P508" s="2697">
        <f t="shared" si="345"/>
        <v>0.14000000000000001</v>
      </c>
      <c r="Q508" s="1787" t="s">
        <v>3938</v>
      </c>
      <c r="S508" s="2674"/>
      <c r="T508" s="2674"/>
      <c r="U508" s="2674"/>
      <c r="V508" s="2674"/>
      <c r="W508" s="2674"/>
    </row>
    <row r="509" spans="1:343">
      <c r="A509" s="2687"/>
      <c r="B509" s="2687"/>
      <c r="C509" s="358"/>
      <c r="H509" s="1418" t="s">
        <v>5080</v>
      </c>
      <c r="I509" s="361"/>
      <c r="J509" s="358"/>
      <c r="K509" s="2698" t="str">
        <f>IF(OR(K494=0,P508="",K505=0),"",P508*K505)</f>
        <v/>
      </c>
      <c r="L509" s="2698">
        <f>IF(OR(L494=0,P508="",L505=0),"",P508*L505)</f>
        <v>5.1800000000000006</v>
      </c>
      <c r="M509" s="2698">
        <f>IF(OR(M494=0,P508="",M505=0),"",P508*M505)</f>
        <v>1.1200000000000001</v>
      </c>
      <c r="N509" s="2698">
        <f>IF(OR(N494=0,P508="",N505=0),"",P508*N505)</f>
        <v>0.70000000000000007</v>
      </c>
      <c r="O509" s="2698" t="str">
        <f>IF(OR(O494=0,P508="",O505=0),"",P508*O505)</f>
        <v/>
      </c>
      <c r="P509" s="2698">
        <f>IF(OR(P508="",P505=0),"",P508*P505)</f>
        <v>7.0000000000000009</v>
      </c>
      <c r="S509" s="2674"/>
      <c r="T509" s="2674"/>
      <c r="U509" s="2674"/>
      <c r="V509" s="2674"/>
      <c r="W509" s="2674"/>
    </row>
    <row r="510" spans="1:343">
      <c r="A510" s="2687"/>
      <c r="B510" s="2687"/>
      <c r="C510" s="358"/>
      <c r="G510" s="2680"/>
      <c r="H510" s="1418" t="s">
        <v>5081</v>
      </c>
      <c r="I510" s="361"/>
      <c r="J510" s="358"/>
      <c r="K510" s="2698" t="str">
        <f t="shared" ref="K510:P510" si="346">IF(OR(K509="",K494=0),"", K494-K509)</f>
        <v/>
      </c>
      <c r="L510" s="2698">
        <f t="shared" si="346"/>
        <v>-0.1800000000000006</v>
      </c>
      <c r="M510" s="2698">
        <f t="shared" si="346"/>
        <v>-0.12000000000000011</v>
      </c>
      <c r="N510" s="2698">
        <f t="shared" si="346"/>
        <v>0.29999999999999993</v>
      </c>
      <c r="O510" s="2698" t="str">
        <f t="shared" si="346"/>
        <v/>
      </c>
      <c r="P510" s="2698">
        <f t="shared" si="346"/>
        <v>-8.8817841970012523E-16</v>
      </c>
      <c r="S510" s="2674"/>
      <c r="T510" s="2674"/>
      <c r="U510" s="2674"/>
      <c r="V510" s="2674"/>
      <c r="W510" s="2674"/>
    </row>
    <row r="511" spans="1:343" ht="12.75" customHeight="1">
      <c r="A511" s="2687"/>
      <c r="B511" s="2687"/>
      <c r="C511" s="358"/>
      <c r="D511" s="358" t="s">
        <v>5082</v>
      </c>
      <c r="E511" s="358"/>
      <c r="F511" s="358"/>
      <c r="H511" s="1418" t="s">
        <v>3558</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5080</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5081</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3936</v>
      </c>
      <c r="D514" s="358"/>
      <c r="E514" s="358"/>
      <c r="F514" s="358"/>
      <c r="H514" s="1418" t="s">
        <v>1080</v>
      </c>
      <c r="I514" s="361"/>
      <c r="J514" s="358"/>
      <c r="K514" s="2697" t="str">
        <f t="shared" ref="K514:P514" si="349">IF(OR(K496=0,K505=0),"",K496/K505)</f>
        <v/>
      </c>
      <c r="L514" s="2697">
        <f t="shared" si="349"/>
        <v>0.3783783783783784</v>
      </c>
      <c r="M514" s="2697">
        <f t="shared" si="349"/>
        <v>0.375</v>
      </c>
      <c r="N514" s="2697">
        <f t="shared" si="349"/>
        <v>0.2</v>
      </c>
      <c r="O514" s="2697" t="str">
        <f t="shared" si="349"/>
        <v/>
      </c>
      <c r="P514" s="2697">
        <f t="shared" si="349"/>
        <v>0.36</v>
      </c>
      <c r="S514" s="2674"/>
      <c r="T514" s="2674"/>
      <c r="U514" s="2674"/>
      <c r="V514" s="2674"/>
      <c r="W514" s="2674"/>
    </row>
    <row r="515" spans="3:23" ht="15.75" customHeight="1">
      <c r="C515" s="360"/>
      <c r="D515" s="358"/>
      <c r="E515" s="358"/>
      <c r="F515" s="358"/>
      <c r="H515" s="1418" t="s">
        <v>5080</v>
      </c>
      <c r="I515" s="361"/>
      <c r="J515" s="358"/>
      <c r="K515" s="2698" t="str">
        <f>IF(OR(K496=0,P514="",K505=0),"",P514*K505)</f>
        <v/>
      </c>
      <c r="L515" s="2698">
        <f>IF(OR(L496=0,P514="",L505=0),"",P514*L505)</f>
        <v>13.32</v>
      </c>
      <c r="M515" s="2698">
        <f>IF(OR(M496=0,P514="",M505=0),"",P514*M505)</f>
        <v>2.88</v>
      </c>
      <c r="N515" s="2698">
        <f>IF(OR(N496=0,P514="",N505=0),"",P514*N505)</f>
        <v>1.7999999999999998</v>
      </c>
      <c r="O515" s="2698" t="str">
        <f>IF(OR(O496=0,P514="",O505=0),"",P514*O505)</f>
        <v/>
      </c>
      <c r="P515" s="2698">
        <f>IF(OR(P514="",P505=0),"",P514*P505)</f>
        <v>18</v>
      </c>
      <c r="S515" s="2674"/>
      <c r="T515" s="2674"/>
      <c r="U515" s="2674"/>
      <c r="V515" s="2674"/>
      <c r="W515" s="2674"/>
    </row>
    <row r="516" spans="3:23" ht="15.75" customHeight="1">
      <c r="C516" s="360"/>
      <c r="D516" s="358"/>
      <c r="E516" s="358"/>
      <c r="F516" s="358"/>
      <c r="G516" s="2680"/>
      <c r="H516" s="1418" t="s">
        <v>5081</v>
      </c>
      <c r="I516" s="361"/>
      <c r="J516" s="358"/>
      <c r="K516" s="2698" t="str">
        <f t="shared" ref="K516:P516" si="350">IF(OR(K515="",K496=0),"", K496-K515)</f>
        <v/>
      </c>
      <c r="L516" s="2698">
        <f t="shared" si="350"/>
        <v>0.67999999999999972</v>
      </c>
      <c r="M516" s="2698">
        <f t="shared" si="350"/>
        <v>0.12000000000000011</v>
      </c>
      <c r="N516" s="2698">
        <f t="shared" si="350"/>
        <v>-0.79999999999999982</v>
      </c>
      <c r="O516" s="2698" t="str">
        <f t="shared" si="350"/>
        <v/>
      </c>
      <c r="P516" s="2698">
        <f t="shared" si="350"/>
        <v>0</v>
      </c>
    </row>
    <row r="517" spans="3:23">
      <c r="C517" s="360" t="s">
        <v>3936</v>
      </c>
      <c r="D517" s="360"/>
      <c r="E517" s="360"/>
      <c r="H517" s="1418" t="s">
        <v>112</v>
      </c>
      <c r="I517" s="361"/>
      <c r="J517" s="358"/>
      <c r="K517" s="2697" t="str">
        <f t="shared" ref="K517:P517" si="351">IF(OR(K497=0,K505=0),"",K497/K505)</f>
        <v/>
      </c>
      <c r="L517" s="2697">
        <f t="shared" si="351"/>
        <v>0.48648648648648651</v>
      </c>
      <c r="M517" s="2697">
        <f t="shared" si="351"/>
        <v>0.5</v>
      </c>
      <c r="N517" s="2697">
        <f t="shared" si="351"/>
        <v>0.6</v>
      </c>
      <c r="O517" s="2697" t="str">
        <f t="shared" si="351"/>
        <v/>
      </c>
      <c r="P517" s="2697">
        <f t="shared" si="351"/>
        <v>0.5</v>
      </c>
    </row>
    <row r="518" spans="3:23">
      <c r="C518" s="360"/>
      <c r="D518" s="360"/>
      <c r="E518" s="360"/>
      <c r="H518" s="1418" t="s">
        <v>5080</v>
      </c>
      <c r="I518" s="361"/>
      <c r="J518" s="358"/>
      <c r="K518" s="2698" t="str">
        <f>IF(OR(K497=0,P517="",K505=0),"",P517*K505)</f>
        <v/>
      </c>
      <c r="L518" s="2698">
        <f>IF(OR(L497=0,P517="",L505=0),"",P517*L505)</f>
        <v>18.5</v>
      </c>
      <c r="M518" s="2698">
        <f>IF(OR(M497=0,P517="",M505=0),"",P517*M505)</f>
        <v>4</v>
      </c>
      <c r="N518" s="2698">
        <f>IF(OR(N497=0,P517="",N505=0),"",P517*N505)</f>
        <v>2.5</v>
      </c>
      <c r="O518" s="2698" t="str">
        <f>IF(OR(O497=0,P517="",O505=0),"",P517*O505)</f>
        <v/>
      </c>
      <c r="P518" s="2698">
        <f>IF(OR(P517="",P505=0),"",P517*P505)</f>
        <v>25</v>
      </c>
    </row>
    <row r="519" spans="3:23">
      <c r="C519" s="360"/>
      <c r="D519" s="360"/>
      <c r="E519" s="360"/>
      <c r="G519" s="2680"/>
      <c r="H519" s="1418" t="s">
        <v>5081</v>
      </c>
      <c r="I519" s="361"/>
      <c r="J519" s="358"/>
      <c r="K519" s="2698" t="str">
        <f t="shared" ref="K519:P519" si="352">IF(OR(K518="",K497=0),"", K497-K518)</f>
        <v/>
      </c>
      <c r="L519" s="2698">
        <f t="shared" si="352"/>
        <v>-0.5</v>
      </c>
      <c r="M519" s="2698">
        <f t="shared" si="352"/>
        <v>0</v>
      </c>
      <c r="N519" s="2698">
        <f t="shared" si="352"/>
        <v>0.5</v>
      </c>
      <c r="O519" s="2698" t="str">
        <f t="shared" si="352"/>
        <v/>
      </c>
      <c r="P519" s="2698">
        <f t="shared" si="352"/>
        <v>0</v>
      </c>
    </row>
    <row r="520" spans="3:23">
      <c r="C520" s="360" t="s">
        <v>3936</v>
      </c>
      <c r="D520" s="360"/>
      <c r="E520" s="360"/>
      <c r="H520" s="1418" t="s">
        <v>3559</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5080</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5081</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3936</v>
      </c>
      <c r="H523" s="1418" t="s">
        <v>3560</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5080</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5081</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3936</v>
      </c>
      <c r="H526" s="1418" t="s">
        <v>3561</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5080</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5081</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3557</v>
      </c>
      <c r="I531" s="361"/>
      <c r="K531" s="2700">
        <f>CP487</f>
        <v>0</v>
      </c>
      <c r="L531" s="2700">
        <f>CQ487</f>
        <v>5</v>
      </c>
      <c r="M531" s="2700">
        <f>CR487</f>
        <v>1</v>
      </c>
      <c r="N531" s="2700">
        <f>CS487</f>
        <v>1</v>
      </c>
      <c r="O531" s="2700">
        <f>CT487</f>
        <v>0</v>
      </c>
      <c r="P531" s="2688">
        <f t="shared" ref="P531:P538" si="359">SUM(K531:O531)</f>
        <v>7</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3558</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3559</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3560</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3561</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5</v>
      </c>
      <c r="M538" s="2694">
        <f>SUM(M531:M537)</f>
        <v>1</v>
      </c>
      <c r="N538" s="2694">
        <f>SUM(N531:N537)</f>
        <v>1</v>
      </c>
      <c r="O538" s="2694">
        <f>SUM(O531:O537)</f>
        <v>0</v>
      </c>
      <c r="P538" s="2694">
        <f t="shared" si="359"/>
        <v>7</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5083</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3557</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3558</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3559</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3560</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3561</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4824</v>
      </c>
      <c r="F551" s="358"/>
      <c r="H551" s="1418" t="s">
        <v>1341</v>
      </c>
      <c r="I551" s="361"/>
      <c r="K551" s="2688">
        <f>GG487</f>
        <v>0</v>
      </c>
      <c r="L551" s="2688">
        <f>GH487</f>
        <v>37</v>
      </c>
      <c r="M551" s="2688">
        <f>GI487</f>
        <v>8</v>
      </c>
      <c r="N551" s="2688">
        <f>GJ487</f>
        <v>5</v>
      </c>
      <c r="O551" s="2688">
        <f>GK487</f>
        <v>0</v>
      </c>
      <c r="P551" s="2688">
        <f t="shared" ref="P551:P561" si="361">SUM(K551:O551)</f>
        <v>50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4831</v>
      </c>
      <c r="J553" s="2702">
        <f>IF($P$67=0,0,P553/$P$67)</f>
        <v>0</v>
      </c>
      <c r="K553" s="2694">
        <f>SUM(K551:K552)+GQ487</f>
        <v>0</v>
      </c>
      <c r="L553" s="2694">
        <f>SUM(L551:L552)+GR487</f>
        <v>37</v>
      </c>
      <c r="M553" s="2694">
        <f>SUM(M551:M552)+GS487</f>
        <v>8</v>
      </c>
      <c r="N553" s="2694">
        <f>SUM(N551:N552)+GT487</f>
        <v>5</v>
      </c>
      <c r="O553" s="2694">
        <f>SUM(O551:O552)+GU487</f>
        <v>0</v>
      </c>
      <c r="P553" s="2694">
        <f t="shared" si="361"/>
        <v>50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4831</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4831</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4825</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5033</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2926</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4823</v>
      </c>
      <c r="D565" s="2674"/>
      <c r="E565" s="1418" t="s">
        <v>4763</v>
      </c>
      <c r="F565" s="358"/>
      <c r="G565" s="2507"/>
      <c r="H565" s="359"/>
      <c r="K565" s="2704" t="str">
        <f>'Part V-Revenues &amp; Expenses'!K127</f>
        <v>Yes</v>
      </c>
      <c r="L565" s="358" t="s">
        <v>4826</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4827</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5084</v>
      </c>
      <c r="D569" s="2674"/>
      <c r="E569" s="1418" t="s">
        <v>36</v>
      </c>
      <c r="F569" s="358"/>
      <c r="G569" s="2507"/>
      <c r="H569" s="359"/>
      <c r="K569" s="2694">
        <f t="shared" ref="K569:P569" si="362">SUM(K570:K577)</f>
        <v>0</v>
      </c>
      <c r="L569" s="2694">
        <f t="shared" si="362"/>
        <v>37</v>
      </c>
      <c r="M569" s="2694">
        <f t="shared" si="362"/>
        <v>8</v>
      </c>
      <c r="N569" s="2694">
        <f t="shared" si="362"/>
        <v>5</v>
      </c>
      <c r="O569" s="2694">
        <f t="shared" si="362"/>
        <v>0</v>
      </c>
      <c r="P569" s="2694">
        <f t="shared" si="362"/>
        <v>50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4188</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2926</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4375</v>
      </c>
      <c r="I572" s="1787"/>
      <c r="K572" s="2688">
        <f>JX487</f>
        <v>0</v>
      </c>
      <c r="L572" s="2688">
        <f>JY487</f>
        <v>37</v>
      </c>
      <c r="M572" s="2688">
        <f>JZ487</f>
        <v>8</v>
      </c>
      <c r="N572" s="2688">
        <f>KA487</f>
        <v>5</v>
      </c>
      <c r="O572" s="2688">
        <f>KB487</f>
        <v>0</v>
      </c>
      <c r="P572" s="2688">
        <f t="shared" si="363"/>
        <v>50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2926</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4190</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2926</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4382</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2926</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4377</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2926</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4378</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2926</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4184</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2926</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2926</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5083</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5085</v>
      </c>
      <c r="D589" s="2674"/>
      <c r="E589" s="1418" t="s">
        <v>2921</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2926</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2922</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2926</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2923</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2926</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2924</v>
      </c>
      <c r="F595" s="2507"/>
      <c r="H595" s="2705"/>
      <c r="I595" s="1787"/>
      <c r="K595" s="2688">
        <f t="shared" si="367"/>
        <v>0</v>
      </c>
      <c r="L595" s="2688">
        <f t="shared" si="367"/>
        <v>37</v>
      </c>
      <c r="M595" s="2688">
        <f t="shared" si="367"/>
        <v>8</v>
      </c>
      <c r="N595" s="2688">
        <f t="shared" si="367"/>
        <v>5</v>
      </c>
      <c r="O595" s="2688">
        <f t="shared" si="367"/>
        <v>0</v>
      </c>
      <c r="P595" s="2694">
        <f t="shared" si="365"/>
        <v>50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2926</v>
      </c>
      <c r="I596" s="2707"/>
      <c r="K596" s="2693">
        <f t="shared" si="367"/>
        <v>0</v>
      </c>
      <c r="L596" s="2693">
        <f t="shared" si="367"/>
        <v>0</v>
      </c>
      <c r="M596" s="2693">
        <f t="shared" si="367"/>
        <v>0</v>
      </c>
      <c r="N596" s="2693">
        <f t="shared" si="367"/>
        <v>0</v>
      </c>
      <c r="O596" s="2693">
        <f t="shared" si="367"/>
        <v>0</v>
      </c>
      <c r="P596" s="2709">
        <f t="shared" si="365"/>
        <v>0</v>
      </c>
      <c r="Q596" s="356" t="s">
        <v>5086</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4391</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3557</v>
      </c>
      <c r="I599" s="794"/>
      <c r="K599" s="2700">
        <f>EI487</f>
        <v>0</v>
      </c>
      <c r="L599" s="2700">
        <f>EJ487</f>
        <v>4055</v>
      </c>
      <c r="M599" s="2700">
        <f>EK487</f>
        <v>915</v>
      </c>
      <c r="N599" s="2700">
        <f>EL487</f>
        <v>1179</v>
      </c>
      <c r="O599" s="2700">
        <f>EM487</f>
        <v>0</v>
      </c>
      <c r="P599" s="2713">
        <f t="shared" ref="P599:P605" si="368">SUM(K599:O599)</f>
        <v>6149</v>
      </c>
      <c r="Q599" s="2698">
        <f>'Part V-Revenues &amp; Expenses'!Q161</f>
        <v>878.42857142857144</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3558</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11354</v>
      </c>
      <c r="M601" s="2713">
        <f>EU487</f>
        <v>2745</v>
      </c>
      <c r="N601" s="2713">
        <f>EV487</f>
        <v>1179</v>
      </c>
      <c r="O601" s="2713">
        <f>EW487</f>
        <v>0</v>
      </c>
      <c r="P601" s="2713">
        <f t="shared" si="368"/>
        <v>15278</v>
      </c>
      <c r="Q601" s="2698">
        <f>'Part V-Revenues &amp; Expenses'!Q163</f>
        <v>848.77777777777783</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14598</v>
      </c>
      <c r="M602" s="2713">
        <f>EZ487</f>
        <v>3660</v>
      </c>
      <c r="N602" s="2713">
        <f>FA487</f>
        <v>3537</v>
      </c>
      <c r="O602" s="2713">
        <f>FB487</f>
        <v>0</v>
      </c>
      <c r="P602" s="2713">
        <f t="shared" si="368"/>
        <v>21795</v>
      </c>
      <c r="Q602" s="2698">
        <f>'Part V-Revenues &amp; Expenses'!Q164</f>
        <v>871.8</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3559</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3560</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3561</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3642</v>
      </c>
      <c r="I606" s="2707"/>
      <c r="J606" s="2690"/>
      <c r="K606" s="2714">
        <f>SUM(K599:K605)</f>
        <v>0</v>
      </c>
      <c r="L606" s="2714">
        <f>SUM(L599:L605)</f>
        <v>30007</v>
      </c>
      <c r="M606" s="2714">
        <f>SUM(M599:M605)</f>
        <v>7320</v>
      </c>
      <c r="N606" s="2714">
        <f>SUM(N599:N605)</f>
        <v>5895</v>
      </c>
      <c r="O606" s="2714">
        <f>SUM(O599:O605)</f>
        <v>0</v>
      </c>
      <c r="P606" s="2714">
        <f>SUM(K606:O606)</f>
        <v>43222</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30007</v>
      </c>
      <c r="M608" s="2716">
        <f>SUM(M606:M607)</f>
        <v>7320</v>
      </c>
      <c r="N608" s="2716">
        <f>SUM(N606:N607)</f>
        <v>5895</v>
      </c>
      <c r="O608" s="2716">
        <f>SUM(O606:O607)</f>
        <v>0</v>
      </c>
      <c r="P608" s="2716">
        <f>SUM(K608:O608)</f>
        <v>43222</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30007</v>
      </c>
      <c r="M610" s="2717">
        <f>SUM(M608:M609)</f>
        <v>7320</v>
      </c>
      <c r="N610" s="2717">
        <f>SUM(N608:N609)</f>
        <v>5895</v>
      </c>
      <c r="O610" s="2717">
        <f>SUM(O608:O609)</f>
        <v>0</v>
      </c>
      <c r="P610" s="2717">
        <f>SUM(K610:O610)</f>
        <v>43222</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5087</v>
      </c>
      <c r="K613" s="2718" t="str">
        <f>'Part V-Revenues &amp; Expenses'!K175</f>
        <v/>
      </c>
      <c r="L613" s="2718">
        <f>'Part V-Revenues &amp; Expenses'!L175</f>
        <v>811</v>
      </c>
      <c r="M613" s="2718">
        <f>'Part V-Revenues &amp; Expenses'!M175</f>
        <v>915</v>
      </c>
      <c r="N613" s="2718">
        <f>'Part V-Revenues &amp; Expenses'!N175</f>
        <v>1179</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4541</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5088</v>
      </c>
      <c r="K616" s="2533">
        <f>'Part V-Revenues &amp; Expenses'!K178</f>
        <v>11578</v>
      </c>
      <c r="L616" s="2533"/>
      <c r="Z616" s="1534">
        <v>68</v>
      </c>
    </row>
    <row r="617" spans="1:380" s="1729" customFormat="1" ht="13.35" customHeight="1">
      <c r="A617" s="2502"/>
      <c r="C617" s="376" t="s">
        <v>242</v>
      </c>
      <c r="K617" s="2533">
        <f>P610+K616</f>
        <v>54800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5089</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7000</v>
      </c>
      <c r="I621" s="2720"/>
      <c r="J621" s="2705" t="s">
        <v>5090</v>
      </c>
      <c r="M621" s="1418"/>
      <c r="N621" s="1418"/>
      <c r="O621" s="1418"/>
      <c r="P621" s="2721">
        <f>IF(M488=0,0,H621/M488)</f>
        <v>1.183351928863644E-2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5091</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5092</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5091</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5092</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5091</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5092</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5091</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5092</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33399</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48000</v>
      </c>
      <c r="G663" s="2713"/>
      <c r="I663" s="358" t="s">
        <v>1298</v>
      </c>
      <c r="L663" s="2713">
        <f>'Part V-Revenues &amp; Expenses'!L225</f>
        <v>0</v>
      </c>
      <c r="M663" s="2713"/>
      <c r="O663" s="2733">
        <f>+Q662/(P505*0.93)</f>
        <v>718.25806451612902</v>
      </c>
      <c r="P663" s="2692" t="s">
        <v>2478</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48000</v>
      </c>
      <c r="G664" s="2713"/>
      <c r="I664" s="358" t="s">
        <v>1299</v>
      </c>
      <c r="L664" s="2713">
        <f>'Part V-Revenues &amp; Expenses'!L226</f>
        <v>5000</v>
      </c>
      <c r="M664" s="2713"/>
      <c r="O664" s="2733">
        <f>+Q662/(P505*0.93)/12</f>
        <v>59.854838709677416</v>
      </c>
      <c r="P664" s="2692" t="s">
        <v>2479</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5000</v>
      </c>
      <c r="M665" s="2713"/>
      <c r="O665" s="361" t="s">
        <v>3139</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4526</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3890</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96000</v>
      </c>
      <c r="G669" s="2713"/>
      <c r="I669" s="358" t="s">
        <v>1495</v>
      </c>
      <c r="L669" s="2713">
        <f>'Part V-Revenues &amp; Expenses'!L231</f>
        <v>2000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6000</v>
      </c>
      <c r="M670" s="2713"/>
      <c r="N670" s="1546" t="str">
        <f>IF(Q672="","",IF(Q670&lt;Q672, "WARNING! OE below required minimum.",""))</f>
        <v/>
      </c>
      <c r="O670" s="1657" t="s">
        <v>2024</v>
      </c>
      <c r="Q670" s="2718">
        <f>F669+F678+F689+L665+L673+L683+L689+Q662</f>
        <v>308147</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1500</v>
      </c>
      <c r="M671" s="2713"/>
      <c r="N671" s="1546"/>
      <c r="O671" s="2692" t="s">
        <v>2480</v>
      </c>
      <c r="P671" s="2733">
        <f>+Q670/P505</f>
        <v>6162.94</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4342</v>
      </c>
    </row>
    <row r="672" spans="1:380" s="358" customFormat="1" ht="16.5" customHeight="1">
      <c r="B672" s="358" t="s">
        <v>1292</v>
      </c>
      <c r="D672" s="2704"/>
      <c r="F672" s="2713">
        <f>'Part V-Revenues &amp; Expenses'!F234</f>
        <v>10000</v>
      </c>
      <c r="G672" s="2713"/>
      <c r="I672" s="2736" t="str">
        <f>'Part V-Revenues &amp; Expenses'!I234</f>
        <v>Invest Atlanta Fees</v>
      </c>
      <c r="J672" s="2736"/>
      <c r="K672" s="2736"/>
      <c r="L672" s="2713">
        <f>'Part V-Revenues &amp; Expenses'!L234</f>
        <v>2500</v>
      </c>
      <c r="M672" s="2713"/>
      <c r="N672" s="1546"/>
      <c r="P672" s="2692" t="s">
        <v>3140</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3000</v>
      </c>
      <c r="G673" s="2713"/>
      <c r="I673" s="1657"/>
      <c r="K673" s="2734" t="s">
        <v>184</v>
      </c>
      <c r="L673" s="2718">
        <f>SUM(L669:L672)</f>
        <v>12000</v>
      </c>
      <c r="M673" s="2718"/>
      <c r="N673" s="1546"/>
      <c r="O673" s="2737" t="s">
        <v>4828</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1000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4343</v>
      </c>
    </row>
    <row r="676" spans="2:380" s="358" customFormat="1" ht="16.5" customHeight="1">
      <c r="B676" s="358" t="s">
        <v>1493</v>
      </c>
      <c r="D676" s="2704"/>
      <c r="F676" s="2713">
        <f>'Part V-Revenues &amp; Expenses'!F238</f>
        <v>0</v>
      </c>
      <c r="G676" s="2713"/>
      <c r="I676" s="1657" t="s">
        <v>1295</v>
      </c>
      <c r="K676" s="1534" t="s">
        <v>3759</v>
      </c>
      <c r="O676" s="1657" t="s">
        <v>3001</v>
      </c>
      <c r="P676" s="1657"/>
      <c r="Q676" s="2738">
        <f>Q685</f>
        <v>15000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25</v>
      </c>
      <c r="L677" s="2713">
        <f>'Part V-Revenues &amp; Expenses'!L239</f>
        <v>15000</v>
      </c>
      <c r="M677" s="2713"/>
      <c r="N677" s="1546" t="str">
        <f>IF(Q676&lt;Q685, "WARNING! RR proposed is below the DCA required minimum.","")</f>
        <v/>
      </c>
      <c r="O677" s="361" t="s">
        <v>3758</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14000</v>
      </c>
      <c r="G678" s="2713"/>
      <c r="I678" s="358" t="s">
        <v>1289</v>
      </c>
      <c r="K678" s="2598">
        <f>L678/12/P505</f>
        <v>0</v>
      </c>
      <c r="L678" s="2713">
        <f>'Part V-Revenues &amp; Expenses'!L240</f>
        <v>0</v>
      </c>
      <c r="M678" s="2713"/>
      <c r="N678" s="1546"/>
      <c r="O678" s="2740" t="s">
        <v>3146</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3803</v>
      </c>
      <c r="K679" s="2598">
        <f>L679/12/P505</f>
        <v>8.3333333333333339</v>
      </c>
      <c r="L679" s="2713">
        <f>'Part V-Revenues &amp; Expenses'!L241</f>
        <v>5000</v>
      </c>
      <c r="M679" s="2713"/>
      <c r="N679" s="1546"/>
      <c r="O679" s="2741" t="s">
        <v>2458</v>
      </c>
      <c r="P679" s="2742" t="s">
        <v>3200</v>
      </c>
      <c r="Q679" s="2742" t="s">
        <v>2972</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4276</v>
      </c>
    </row>
    <row r="680" spans="2:380" s="358" customFormat="1" ht="16.5" customHeight="1">
      <c r="B680" s="1657" t="s">
        <v>1214</v>
      </c>
      <c r="D680" s="2704"/>
      <c r="I680" s="358" t="s">
        <v>1291</v>
      </c>
      <c r="K680" s="2598">
        <f>L680/12/P505</f>
        <v>8.3333333333333339</v>
      </c>
      <c r="L680" s="2713">
        <f>'Part V-Revenues &amp; Expenses'!L242</f>
        <v>5000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7750</v>
      </c>
      <c r="G681" s="2713"/>
      <c r="I681" s="358" t="s">
        <v>5093</v>
      </c>
      <c r="K681" s="2598">
        <f>L681/12/P505</f>
        <v>0</v>
      </c>
      <c r="L681" s="2713">
        <f>'Part V-Revenues &amp; Expenses'!L243</f>
        <v>0</v>
      </c>
      <c r="M681" s="2713"/>
      <c r="N681" s="1546"/>
      <c r="O681" s="2507" t="s">
        <v>2970</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12200</v>
      </c>
      <c r="G682" s="2713"/>
      <c r="I682" s="2736" t="str">
        <f>'Part V-Revenues &amp; Expenses'!I244</f>
        <v>Other (describe here)</v>
      </c>
      <c r="J682" s="2736"/>
      <c r="K682" s="2598">
        <f>L682/12/P505</f>
        <v>0</v>
      </c>
      <c r="L682" s="2713">
        <f>'Part V-Revenues &amp; Expenses'!L244</f>
        <v>0</v>
      </c>
      <c r="M682" s="2713"/>
      <c r="N682" s="1546"/>
      <c r="O682" s="2507" t="s">
        <v>2969</v>
      </c>
      <c r="P682" s="2743" t="str">
        <f>CONCATENATE(SUM(MK487:MO487)," units x $",'DCA Underwriting Assumptions'!$Q$42," =")</f>
        <v>50 units x $300 =</v>
      </c>
      <c r="Q682" s="2743">
        <f>SUM(MK487:MO487)*'DCA Underwriting Assumptions'!$Q$42</f>
        <v>15000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3000</v>
      </c>
      <c r="G683" s="2713"/>
      <c r="K683" s="2734" t="s">
        <v>184</v>
      </c>
      <c r="L683" s="2718">
        <f>SUM(L677:L682)</f>
        <v>25000</v>
      </c>
      <c r="M683" s="2718"/>
      <c r="N683" s="1546"/>
      <c r="O683" s="2563" t="s">
        <v>4395</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3750</v>
      </c>
      <c r="G684" s="2713"/>
      <c r="O684" s="2563" t="s">
        <v>2968</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4344</v>
      </c>
    </row>
    <row r="685" spans="2:380" s="358" customFormat="1" ht="16.5" customHeight="1">
      <c r="B685" s="358" t="s">
        <v>939</v>
      </c>
      <c r="D685" s="2704"/>
      <c r="F685" s="2713">
        <f>'Part V-Revenues &amp; Expenses'!F247</f>
        <v>5600</v>
      </c>
      <c r="G685" s="2713"/>
      <c r="I685" s="1657" t="s">
        <v>1296</v>
      </c>
      <c r="O685" s="2682" t="s">
        <v>2461</v>
      </c>
      <c r="P685" s="2672">
        <f>SUM(MF487:MJ487)+SUM(MK487:MO487)+SUM(MP487:MT487)+P563</f>
        <v>50</v>
      </c>
      <c r="Q685" s="2744">
        <f>SUM(Q681:Q684)</f>
        <v>15000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8000</v>
      </c>
      <c r="G686" s="2713"/>
      <c r="I686" s="358" t="s">
        <v>5094</v>
      </c>
      <c r="L686" s="2713">
        <f>'Part V-Revenues &amp; Expenses'!L248</f>
        <v>65500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2200</v>
      </c>
      <c r="G687" s="2713"/>
      <c r="I687" s="358" t="s">
        <v>140</v>
      </c>
      <c r="L687" s="2713">
        <f>'Part V-Revenues &amp; Expenses'!L249</f>
        <v>13498</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Misc. Taxes</v>
      </c>
      <c r="J688" s="2736"/>
      <c r="K688" s="2736"/>
      <c r="L688" s="2713">
        <f>'Part V-Revenues &amp; Expenses'!L250</f>
        <v>1250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4345</v>
      </c>
    </row>
    <row r="689" spans="1:380" s="358" customFormat="1" ht="16.5" customHeight="1">
      <c r="B689" s="1657"/>
      <c r="E689" s="2734" t="s">
        <v>184</v>
      </c>
      <c r="F689" s="2713">
        <f>SUM(F681:G688)</f>
        <v>42500</v>
      </c>
      <c r="G689" s="2713"/>
      <c r="K689" s="2734" t="s">
        <v>184</v>
      </c>
      <c r="L689" s="2718">
        <f>SUM(L685:L688)</f>
        <v>80248</v>
      </c>
      <c r="M689" s="2718"/>
      <c r="O689" s="1657" t="s">
        <v>2025</v>
      </c>
      <c r="Q689" s="2718">
        <f>Q670+Q676</f>
        <v>323147</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3287</v>
      </c>
      <c r="B693" s="1657" t="s">
        <v>3748</v>
      </c>
      <c r="C693" s="2734"/>
      <c r="H693" s="2688"/>
      <c r="I693" s="2745" t="s">
        <v>3749</v>
      </c>
      <c r="K693" s="2718">
        <f>'Part V-Revenues &amp; Expenses'!K255</f>
        <v>0</v>
      </c>
      <c r="L693" s="2718"/>
      <c r="M693" s="2735" t="s">
        <v>3776</v>
      </c>
      <c r="N693" s="2698">
        <f>'Part V-Revenues &amp; Expenses'!N255</f>
        <v>0</v>
      </c>
      <c r="O693" s="1657" t="s">
        <v>3751</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3777</v>
      </c>
      <c r="C695" s="2734"/>
      <c r="F695" s="2688"/>
      <c r="G695" s="2688"/>
      <c r="J695" s="1804" t="str">
        <f>'Part V-Revenues &amp; Expenses'!J257</f>
        <v>&lt;&lt;Select&gt;&gt;</v>
      </c>
      <c r="K695" s="2745" t="s">
        <v>3779</v>
      </c>
      <c r="L695" s="1804" t="str">
        <f>'Part V-Revenues &amp; Expenses'!L257</f>
        <v>&lt;&lt;Select&gt;&gt;</v>
      </c>
      <c r="M695" s="1804" t="s">
        <v>3780</v>
      </c>
      <c r="N695" s="2698">
        <f>'Part V-Revenues &amp; Expenses'!N257</f>
        <v>0</v>
      </c>
      <c r="O695" s="358" t="s">
        <v>3778</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4346</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3747</v>
      </c>
      <c r="B697" s="360" t="s">
        <v>529</v>
      </c>
      <c r="N697" s="360" t="s">
        <v>4542</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taxes were estimated using the income approach and a comparable property analysis.  This is detailed in Tab 01 of the application.  The insurance expense was estimated using a quote from the provider: State Farm.</v>
      </c>
      <c r="B698" s="2518"/>
      <c r="C698" s="2518"/>
      <c r="D698" s="2518"/>
      <c r="E698" s="2518"/>
      <c r="F698" s="2518"/>
      <c r="G698" s="2518"/>
      <c r="H698" s="2518"/>
      <c r="I698" s="2518"/>
      <c r="J698" s="2518"/>
      <c r="K698" s="2518"/>
      <c r="L698" s="2518"/>
      <c r="M698" s="2518"/>
      <c r="N698" s="2518"/>
      <c r="O698" s="2518"/>
      <c r="P698" s="2518"/>
      <c r="Q698" s="2518"/>
      <c r="R698" s="2746" t="s">
        <v>3286</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Lewis Crossing,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5095</v>
      </c>
    </row>
    <row r="705" spans="1:11">
      <c r="C705" s="1546"/>
    </row>
    <row r="706" spans="1:11" ht="12.6" customHeight="1">
      <c r="A706" s="356" t="s">
        <v>2026</v>
      </c>
      <c r="B706" s="2748">
        <f>'DCA Underwriting Assumptions'!$Q$114</f>
        <v>0.02</v>
      </c>
      <c r="C706" s="1546"/>
      <c r="D706" s="2674" t="s">
        <v>5096</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0.06</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591540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7000</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3713</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-274748</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-15000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3712</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-178627.64290489111</v>
      </c>
      <c r="C726" s="2757">
        <f>'Part VI-Pro Forma'!C26</f>
        <v>-178627.64290489111</v>
      </c>
      <c r="D726" s="2757">
        <f>'Part VI-Pro Forma'!D26</f>
        <v>-178627.64290489111</v>
      </c>
      <c r="E726" s="2757">
        <f>'Part VI-Pro Forma'!E26</f>
        <v>-178627.64290489111</v>
      </c>
      <c r="F726" s="2757">
        <f>'Part VI-Pro Forma'!F26</f>
        <v>-178627.64290489111</v>
      </c>
      <c r="G726" s="2757">
        <f>'Part VI-Pro Forma'!G26</f>
        <v>-178627.64290489111</v>
      </c>
      <c r="H726" s="2757">
        <f>'Part VI-Pro Forma'!H26</f>
        <v>-178627.64290489111</v>
      </c>
      <c r="I726" s="2757">
        <f>'Part VI-Pro Forma'!I26</f>
        <v>-178627.64290489111</v>
      </c>
      <c r="J726" s="2757">
        <f>'Part VI-Pro Forma'!J26</f>
        <v>-178627.64290489111</v>
      </c>
      <c r="K726" s="2757">
        <f>'Part VI-Pro Forma'!K26</f>
        <v>-178627.64290489111</v>
      </c>
    </row>
    <row r="727" spans="1:11">
      <c r="A727" s="356" t="s">
        <v>1485</v>
      </c>
      <c r="B727" s="2757">
        <f>'Part VI-Pro Forma'!B27</f>
        <v>-11841.889273777211</v>
      </c>
      <c r="C727" s="2757">
        <f>'Part VI-Pro Forma'!C27</f>
        <v>-12284.990273777221</v>
      </c>
      <c r="D727" s="2757">
        <f>'Part VI-Pro Forma'!D27</f>
        <v>-12715.312193777238</v>
      </c>
      <c r="E727" s="2757">
        <f>'Part VI-Pro Forma'!E27</f>
        <v>-13131.762519177231</v>
      </c>
      <c r="F727" s="2757">
        <f>'Part VI-Pro Forma'!F27</f>
        <v>-13533.462327095207</v>
      </c>
      <c r="G727" s="2757">
        <f>'Part VI-Pro Forma'!G27</f>
        <v>-13919.494971461892</v>
      </c>
      <c r="H727" s="2757">
        <f>'Part VI-Pro Forma'!H27</f>
        <v>-14288.904724214924</v>
      </c>
      <c r="I727" s="2757">
        <f>'Part VI-Pro Forma'!I27</f>
        <v>-14640.445371186921</v>
      </c>
      <c r="J727" s="2757">
        <f>'Part VI-Pro Forma'!J27</f>
        <v>-14972.82876123731</v>
      </c>
      <c r="K727" s="2757">
        <f>'Part VI-Pro Forma'!K27</f>
        <v>-15285.473307131731</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3201</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-7500</v>
      </c>
      <c r="D731" s="2757">
        <f>'Part VI-Pro Forma'!D31</f>
        <v>-7500</v>
      </c>
      <c r="E731" s="2757">
        <f>'Part VI-Pro Forma'!E31</f>
        <v>-7500</v>
      </c>
      <c r="F731" s="2757">
        <f>'Part VI-Pro Forma'!F31</f>
        <v>-7500</v>
      </c>
      <c r="G731" s="2757">
        <f>'Part VI-Pro Forma'!G31</f>
        <v>-7500</v>
      </c>
      <c r="H731" s="2757">
        <f>'Part VI-Pro Forma'!H31</f>
        <v>-7500</v>
      </c>
      <c r="I731" s="2757">
        <f>'Part VI-Pro Forma'!I31</f>
        <v>-7500</v>
      </c>
      <c r="J731" s="2757">
        <f>'Part VI-Pro Forma'!J31</f>
        <v>-7500</v>
      </c>
      <c r="K731" s="2757">
        <f>'Part VI-Pro Forma'!K31</f>
        <v>-7500</v>
      </c>
    </row>
    <row r="732" spans="1:11">
      <c r="A732" s="356" t="s">
        <v>3274</v>
      </c>
      <c r="B732" s="2757">
        <f>'Part VI-Pro Forma'!B32</f>
        <v>-17989.73</v>
      </c>
      <c r="C732" s="2757">
        <f>'Part VI-Pro Forma'!C32</f>
        <v>-17989.73</v>
      </c>
      <c r="D732" s="2757">
        <f>'Part VI-Pro Forma'!D32</f>
        <v>-17989.73</v>
      </c>
      <c r="E732" s="2757">
        <f>'Part VI-Pro Forma'!E32</f>
        <v>-17989.73</v>
      </c>
      <c r="F732" s="2757">
        <f>'Part VI-Pro Forma'!F32</f>
        <v>-17989.73</v>
      </c>
      <c r="G732" s="2757">
        <f>'Part VI-Pro Forma'!G32</f>
        <v>-17989.73</v>
      </c>
      <c r="H732" s="2757">
        <f>'Part VI-Pro Forma'!H32</f>
        <v>-17989.73</v>
      </c>
      <c r="I732" s="2757">
        <f>'Part VI-Pro Forma'!I32</f>
        <v>-17989.73</v>
      </c>
      <c r="J732" s="2757">
        <f>'Part VI-Pro Forma'!J32</f>
        <v>-17989.73</v>
      </c>
      <c r="K732" s="2757">
        <f>'Part VI-Pro Forma'!K32</f>
        <v>-17989.73</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e">
        <f t="shared" ref="B735:K735" si="385">IF(B727=0,"",-(B725+B726)/B727)</f>
        <v>#VALUE!</v>
      </c>
      <c r="C735" s="2758" t="e">
        <f t="shared" si="385"/>
        <v>#VALUE!</v>
      </c>
      <c r="D735" s="2758" t="e">
        <f t="shared" si="385"/>
        <v>#VALUE!</v>
      </c>
      <c r="E735" s="2758" t="e">
        <f t="shared" si="385"/>
        <v>#VALUE!</v>
      </c>
      <c r="F735" s="2758" t="e">
        <f t="shared" si="385"/>
        <v>#VALUE!</v>
      </c>
      <c r="G735" s="2758" t="e">
        <f t="shared" si="385"/>
        <v>#VALUE!</v>
      </c>
      <c r="H735" s="2758" t="e">
        <f t="shared" si="385"/>
        <v>#VALUE!</v>
      </c>
      <c r="I735" s="2758" t="e">
        <f t="shared" si="385"/>
        <v>#VALUE!</v>
      </c>
      <c r="J735" s="2758" t="e">
        <f t="shared" si="385"/>
        <v>#VALUE!</v>
      </c>
      <c r="K735" s="2758" t="e">
        <f t="shared" si="385"/>
        <v>#VALUE!</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3130</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2191577.3501094398</v>
      </c>
      <c r="C740" s="2757">
        <f>'Part VI-Pro Forma'!C40</f>
        <v>2182478.2519569783</v>
      </c>
      <c r="D740" s="2757">
        <f>'Part VI-Pro Forma'!D40</f>
        <v>2172648.3779548639</v>
      </c>
      <c r="E740" s="2757">
        <f>'Part VI-Pro Forma'!E40</f>
        <v>2162029.0373039111</v>
      </c>
      <c r="F740" s="2757">
        <f>'Part VI-Pro Forma'!F40</f>
        <v>2150556.8255709098</v>
      </c>
      <c r="G740" s="2757">
        <f>'Part VI-Pro Forma'!G40</f>
        <v>2138163.2461225474</v>
      </c>
      <c r="H740" s="2757">
        <f>'Part VI-Pro Forma'!H40</f>
        <v>2124774.3011555518</v>
      </c>
      <c r="I740" s="2757">
        <f>'Part VI-Pro Forma'!I40</f>
        <v>2110310.0498812422</v>
      </c>
      <c r="J740" s="2757">
        <f>'Part VI-Pro Forma'!J40</f>
        <v>2094684.1312265543</v>
      </c>
      <c r="K740" s="2757">
        <f>'Part VI-Pro Forma'!K40</f>
        <v>2077803.2482017551</v>
      </c>
    </row>
    <row r="741" spans="1:11">
      <c r="A741" s="356" t="s">
        <v>2400</v>
      </c>
      <c r="B741" s="2757">
        <f>'Part VI-Pro Forma'!B41</f>
        <v>508309.35045742028</v>
      </c>
      <c r="C741" s="2757">
        <f>'Part VI-Pro Forma'!C41</f>
        <v>516505.92121290456</v>
      </c>
      <c r="D741" s="2757">
        <f>'Part VI-Pro Forma'!D41</f>
        <v>524598.13343329332</v>
      </c>
      <c r="E741" s="2757">
        <f>'Part VI-Pro Forma'!E41</f>
        <v>532595.86414501909</v>
      </c>
      <c r="F741" s="2757">
        <f>'Part VI-Pro Forma'!F41</f>
        <v>540510.28799666848</v>
      </c>
      <c r="G741" s="2757">
        <f>'Part VI-Pro Forma'!G41</f>
        <v>548353.96854863258</v>
      </c>
      <c r="H741" s="2757">
        <f>'Part VI-Pro Forma'!H41</f>
        <v>556140.9546660342</v>
      </c>
      <c r="I741" s="2757">
        <f>'Part VI-Pro Forma'!I41</f>
        <v>563887.13690363732</v>
      </c>
      <c r="J741" s="2757">
        <f>'Part VI-Pro Forma'!J41</f>
        <v>571610.36525354919</v>
      </c>
      <c r="K741" s="2757">
        <f>'Part VI-Pro Forma'!K41</f>
        <v>579329.80931312835</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3275</v>
      </c>
      <c r="B744" s="2757">
        <f>'Part VI-Pro Forma'!B44</f>
        <v>251856.27</v>
      </c>
      <c r="C744" s="2757">
        <f>'Part VI-Pro Forma'!C44</f>
        <v>233866.53999999998</v>
      </c>
      <c r="D744" s="2757">
        <f>'Part VI-Pro Forma'!D44</f>
        <v>215876.80999999997</v>
      </c>
      <c r="E744" s="2757">
        <f>'Part VI-Pro Forma'!E44</f>
        <v>197887.07999999996</v>
      </c>
      <c r="F744" s="2757">
        <f>'Part VI-Pro Forma'!F44</f>
        <v>179897.34999999995</v>
      </c>
      <c r="G744" s="2757">
        <f>'Part VI-Pro Forma'!G44</f>
        <v>161907.61999999994</v>
      </c>
      <c r="H744" s="2757">
        <f>'Part VI-Pro Forma'!H44</f>
        <v>143917.88999999993</v>
      </c>
      <c r="I744" s="2757">
        <f>'Part VI-Pro Forma'!I44</f>
        <v>125928.15999999993</v>
      </c>
      <c r="J744" s="2757">
        <f>'Part VI-Pro Forma'!J44</f>
        <v>107938.42999999993</v>
      </c>
      <c r="K744" s="2757">
        <f>'Part VI-Pro Forma'!K44</f>
        <v>89948.699999999939</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3713</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3712</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-178627.64290489111</v>
      </c>
      <c r="C758" s="2757">
        <f>'Part VI-Pro Forma'!C58</f>
        <v>-178627.64290489111</v>
      </c>
      <c r="D758" s="2757">
        <f>'Part VI-Pro Forma'!D58</f>
        <v>-178627.64290489111</v>
      </c>
      <c r="E758" s="2757">
        <f>'Part VI-Pro Forma'!E58</f>
        <v>-178627.64290489111</v>
      </c>
      <c r="F758" s="2757">
        <f>'Part VI-Pro Forma'!F58</f>
        <v>-178627.64290489111</v>
      </c>
      <c r="G758" s="2757">
        <f>'Part VI-Pro Forma'!G58</f>
        <v>-178627.64290489111</v>
      </c>
      <c r="H758" s="2757">
        <f>'Part VI-Pro Forma'!H58</f>
        <v>-178627.64290489111</v>
      </c>
      <c r="I758" s="2757">
        <f>'Part VI-Pro Forma'!I58</f>
        <v>-178627.64290489111</v>
      </c>
      <c r="J758" s="2757">
        <f>'Part VI-Pro Forma'!J58</f>
        <v>-178627.64290489111</v>
      </c>
      <c r="K758" s="2757">
        <f>'Part VI-Pro Forma'!K58</f>
        <v>-178627.64290489111</v>
      </c>
    </row>
    <row r="759" spans="1:11">
      <c r="A759" s="356" t="str">
        <f>$A727</f>
        <v>Mortgage B</v>
      </c>
      <c r="B759" s="2757">
        <f>'Part VI-Pro Forma'!B59</f>
        <v>-15576.502436628492</v>
      </c>
      <c r="C759" s="2757">
        <f>'Part VI-Pro Forma'!C59</f>
        <v>-15845.242992179963</v>
      </c>
      <c r="D759" s="2757">
        <f>'Part VI-Pro Forma'!D59</f>
        <v>-16090.223577611374</v>
      </c>
      <c r="E759" s="2757">
        <f>'Part VI-Pro Forma'!E59</f>
        <v>-16309.672850083283</v>
      </c>
      <c r="F759" s="2757">
        <f>'Part VI-Pro Forma'!F59</f>
        <v>-16502.767755596498</v>
      </c>
      <c r="G759" s="2757">
        <f>'Part VI-Pro Forma'!G59</f>
        <v>-18542.881706239532</v>
      </c>
      <c r="H759" s="2757">
        <f>'Part VI-Pro Forma'!H59</f>
        <v>-18678.332697325772</v>
      </c>
      <c r="I759" s="2757">
        <f>'Part VI-Pro Forma'!I59</f>
        <v>-18782.631362506741</v>
      </c>
      <c r="J759" s="2757">
        <f>'Part VI-Pro Forma'!J59</f>
        <v>-18854.228964892609</v>
      </c>
      <c r="K759" s="2757">
        <f>'Part VI-Pro Forma'!K59</f>
        <v>-18891.26532214458</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-7500</v>
      </c>
      <c r="C763" s="2757">
        <f>'Part VI-Pro Forma'!C63</f>
        <v>-7500</v>
      </c>
      <c r="D763" s="2757">
        <f>'Part VI-Pro Forma'!D63</f>
        <v>-7500</v>
      </c>
      <c r="E763" s="2757">
        <f>'Part VI-Pro Forma'!E63</f>
        <v>-7500</v>
      </c>
      <c r="F763" s="2757">
        <f>'Part VI-Pro Forma'!F63</f>
        <v>-7500</v>
      </c>
      <c r="G763" s="2757">
        <f>'Part VI-Pro Forma'!G63</f>
        <v>0</v>
      </c>
      <c r="H763" s="2757">
        <f>'Part VI-Pro Forma'!H63</f>
        <v>0</v>
      </c>
      <c r="I763" s="2757">
        <f>'Part VI-Pro Forma'!I63</f>
        <v>0</v>
      </c>
      <c r="J763" s="2757">
        <f>'Part VI-Pro Forma'!J63</f>
        <v>0</v>
      </c>
      <c r="K763" s="2757">
        <f>'Part VI-Pro Forma'!K63</f>
        <v>0</v>
      </c>
    </row>
    <row r="764" spans="1:11">
      <c r="A764" s="356" t="s">
        <v>3274</v>
      </c>
      <c r="B764" s="2757">
        <f>'Part VI-Pro Forma'!B64</f>
        <v>-17989.73</v>
      </c>
      <c r="C764" s="2757">
        <f>'Part VI-Pro Forma'!C64</f>
        <v>-17989.73</v>
      </c>
      <c r="D764" s="2757">
        <f>'Part VI-Pro Forma'!D64</f>
        <v>-17989.73</v>
      </c>
      <c r="E764" s="2757">
        <f>'Part VI-Pro Forma'!E64</f>
        <v>-17989.73</v>
      </c>
      <c r="F764" s="2757">
        <f>'Part VI-Pro Forma'!F64</f>
        <v>-17989.73</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e">
        <f t="shared" ref="B767:K767" si="400">IF(B759=0,"",-(B757+B758)/B759)</f>
        <v>#VALUE!</v>
      </c>
      <c r="C767" s="2758" t="e">
        <f t="shared" si="400"/>
        <v>#VALUE!</v>
      </c>
      <c r="D767" s="2758" t="e">
        <f t="shared" si="400"/>
        <v>#VALUE!</v>
      </c>
      <c r="E767" s="2758" t="e">
        <f t="shared" si="400"/>
        <v>#VALUE!</v>
      </c>
      <c r="F767" s="2758" t="e">
        <f t="shared" si="400"/>
        <v>#VALUE!</v>
      </c>
      <c r="G767" s="2758" t="e">
        <f t="shared" si="400"/>
        <v>#VALUE!</v>
      </c>
      <c r="H767" s="2758" t="e">
        <f t="shared" si="400"/>
        <v>#VALUE!</v>
      </c>
      <c r="I767" s="2758" t="e">
        <f t="shared" si="400"/>
        <v>#VALUE!</v>
      </c>
      <c r="J767" s="2758" t="e">
        <f t="shared" si="400"/>
        <v>#VALUE!</v>
      </c>
      <c r="K767" s="2758" t="e">
        <f t="shared" si="400"/>
        <v>#VALUE!</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3130</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2059566.6108561826</v>
      </c>
      <c r="C772" s="2757">
        <f>'Part VI-Pro Forma'!C72</f>
        <v>2039865.3344960923</v>
      </c>
      <c r="D772" s="2757">
        <f>'Part VI-Pro Forma'!D72</f>
        <v>2018581.7895715733</v>
      </c>
      <c r="E772" s="2757">
        <f>'Part VI-Pro Forma'!E72</f>
        <v>1995588.8993509344</v>
      </c>
      <c r="F772" s="2757">
        <f>'Part VI-Pro Forma'!F72</f>
        <v>1970749.3811892162</v>
      </c>
      <c r="G772" s="2757">
        <f>'Part VI-Pro Forma'!G72</f>
        <v>1943914.9268606992</v>
      </c>
      <c r="H772" s="2757">
        <f>'Part VI-Pro Forma'!H72</f>
        <v>1914925.3170614622</v>
      </c>
      <c r="I772" s="2757">
        <f>'Part VI-Pro Forma'!I72</f>
        <v>1883607.4647949857</v>
      </c>
      <c r="J772" s="2757">
        <f>'Part VI-Pro Forma'!J72</f>
        <v>1849774.3819291836</v>
      </c>
      <c r="K772" s="2757">
        <f>'Part VI-Pro Forma'!K72</f>
        <v>1813224.0627545342</v>
      </c>
    </row>
    <row r="773" spans="1:11">
      <c r="A773" s="356" t="s">
        <v>2400</v>
      </c>
      <c r="B773" s="2757">
        <f>'Part VI-Pro Forma'!B73</f>
        <v>587067.33103992033</v>
      </c>
      <c r="C773" s="2757">
        <f>'Part VI-Pro Forma'!C73</f>
        <v>594846.36871827987</v>
      </c>
      <c r="D773" s="2757">
        <f>'Part VI-Pro Forma'!D73</f>
        <v>602692.81421819027</v>
      </c>
      <c r="E773" s="2757">
        <f>'Part VI-Pro Forma'!E73</f>
        <v>610635.41846537485</v>
      </c>
      <c r="F773" s="2757">
        <f>'Part VI-Pro Forma'!F73</f>
        <v>618704.94205487706</v>
      </c>
      <c r="G773" s="2757">
        <f>'Part VI-Pro Forma'!G73</f>
        <v>625025.29573400842</v>
      </c>
      <c r="H773" s="2757">
        <f>'Part VI-Pro Forma'!H73</f>
        <v>631465.18831465463</v>
      </c>
      <c r="I773" s="2757">
        <f>'Part VI-Pro Forma'!I73</f>
        <v>638061.21984167548</v>
      </c>
      <c r="J773" s="2757">
        <f>'Part VI-Pro Forma'!J73</f>
        <v>644853.05895049078</v>
      </c>
      <c r="K773" s="2757">
        <f>'Part VI-Pro Forma'!K73</f>
        <v>651883.8851053979</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3275</v>
      </c>
      <c r="B776" s="2757">
        <f>'Part VI-Pro Forma'!B76</f>
        <v>71958.969999999943</v>
      </c>
      <c r="C776" s="2757">
        <f>'Part VI-Pro Forma'!C76</f>
        <v>53969.239999999947</v>
      </c>
      <c r="D776" s="2757">
        <f>'Part VI-Pro Forma'!D76</f>
        <v>35979.509999999951</v>
      </c>
      <c r="E776" s="2757">
        <f>'Part VI-Pro Forma'!E76</f>
        <v>17989.779999999952</v>
      </c>
      <c r="F776" s="2757">
        <f>'Part VI-Pro Forma'!F76</f>
        <v>4.999999995197868E-2</v>
      </c>
      <c r="G776" s="2757">
        <f>'Part VI-Pro Forma'!G76</f>
        <v>4.999999995197868E-2</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3713</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3712</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-178627.64290489111</v>
      </c>
      <c r="C790" s="2757">
        <f>'Part VI-Pro Forma'!C90</f>
        <v>-178627.64290489111</v>
      </c>
      <c r="D790" s="2757">
        <f>'Part VI-Pro Forma'!D90</f>
        <v>-178627.64290489111</v>
      </c>
      <c r="E790" s="2757">
        <f>'Part VI-Pro Forma'!E90</f>
        <v>-178627.64290489111</v>
      </c>
      <c r="F790" s="2757">
        <f>'Part VI-Pro Forma'!F90</f>
        <v>-178627.64290489111</v>
      </c>
      <c r="G790" s="2757">
        <f>'Part VI-Pro Forma'!G90</f>
        <v>-178627.64290489111</v>
      </c>
      <c r="H790" s="2757">
        <f>'Part VI-Pro Forma'!H90</f>
        <v>-178627.64290489111</v>
      </c>
      <c r="I790" s="2757">
        <f>'Part VI-Pro Forma'!I90</f>
        <v>-178627.64290489111</v>
      </c>
      <c r="J790" s="2757">
        <f>'Part VI-Pro Forma'!J90</f>
        <v>-178627.64290489111</v>
      </c>
      <c r="K790" s="2757">
        <f>'Part VI-Pro Forma'!K90</f>
        <v>-178627.64290489111</v>
      </c>
    </row>
    <row r="791" spans="1:11">
      <c r="A791" s="356" t="str">
        <f>$A759</f>
        <v>Mortgage B</v>
      </c>
      <c r="B791" s="2757">
        <f>'Part VI-Pro Forma'!B91</f>
        <v>-18892.066663444486</v>
      </c>
      <c r="C791" s="2757">
        <f>'Part VI-Pro Forma'!C91</f>
        <v>-18854.643416180326</v>
      </c>
      <c r="D791" s="2757">
        <f>'Part VI-Pro Forma'!D91</f>
        <v>-18777.437920119221</v>
      </c>
      <c r="E791" s="2757">
        <f>'Part VI-Pro Forma'!E91</f>
        <v>-18658.072066769513</v>
      </c>
      <c r="F791" s="2757">
        <f>'Part VI-Pro Forma'!F91</f>
        <v>-18494.844861564619</v>
      </c>
      <c r="G791" s="2757">
        <f>'Part VI-Pro Forma'!G91</f>
        <v>-18285.229906423672</v>
      </c>
      <c r="H791" s="2757">
        <f>'Part VI-Pro Forma'!H91</f>
        <v>-18027.372800172947</v>
      </c>
      <c r="I791" s="2757">
        <f>'Part VI-Pro Forma'!I91</f>
        <v>-17718.838454230106</v>
      </c>
      <c r="J791" s="2757">
        <f>'Part VI-Pro Forma'!J91</f>
        <v>-17357.358320874388</v>
      </c>
      <c r="K791" s="2757">
        <f>'Part VI-Pro Forma'!K91</f>
        <v>-16940.327531342467</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0</v>
      </c>
      <c r="C795" s="2757">
        <f>'Part VI-Pro Forma'!C95</f>
        <v>0</v>
      </c>
      <c r="D795" s="2757">
        <f>'Part VI-Pro Forma'!D95</f>
        <v>0</v>
      </c>
      <c r="E795" s="2757">
        <f>'Part VI-Pro Forma'!E95</f>
        <v>0</v>
      </c>
      <c r="F795" s="2757">
        <f>'Part VI-Pro Forma'!F95</f>
        <v>0</v>
      </c>
      <c r="G795" s="2757">
        <f>'Part VI-Pro Forma'!G95</f>
        <v>0</v>
      </c>
      <c r="H795" s="2757">
        <f>'Part VI-Pro Forma'!H95</f>
        <v>0</v>
      </c>
      <c r="I795" s="2757">
        <f>'Part VI-Pro Forma'!I95</f>
        <v>0</v>
      </c>
      <c r="J795" s="2757">
        <f>'Part VI-Pro Forma'!J95</f>
        <v>0</v>
      </c>
      <c r="K795" s="2757">
        <f>'Part VI-Pro Forma'!K95</f>
        <v>0</v>
      </c>
    </row>
    <row r="796" spans="1:11">
      <c r="A796" s="356" t="s">
        <v>1095</v>
      </c>
      <c r="B796" s="2757">
        <f>'Part VI-Pro Forma'!B96</f>
        <v>56676.199990333458</v>
      </c>
      <c r="C796" s="2757">
        <f>'Part VI-Pro Forma'!C96</f>
        <v>56563.930248540979</v>
      </c>
      <c r="D796" s="2757">
        <f>'Part VI-Pro Forma'!D96</f>
        <v>56332.313760357662</v>
      </c>
      <c r="E796" s="2757">
        <f>'Part VI-Pro Forma'!E96</f>
        <v>55974.21620030854</v>
      </c>
      <c r="F796" s="2757">
        <f>'Part VI-Pro Forma'!F96</f>
        <v>55484.534584693858</v>
      </c>
      <c r="G796" s="2757">
        <f>'Part VI-Pro Forma'!G96</f>
        <v>54855.689719271017</v>
      </c>
      <c r="H796" s="2757">
        <f>'Part VI-Pro Forma'!H96</f>
        <v>54082.118400518841</v>
      </c>
      <c r="I796" s="2757">
        <f>'Part VI-Pro Forma'!I96</f>
        <v>53156.515362690319</v>
      </c>
      <c r="J796" s="2757">
        <f>'Part VI-Pro Forma'!J96</f>
        <v>52072.074962623163</v>
      </c>
      <c r="K796" s="2757">
        <f>'Part VI-Pro Forma'!K96</f>
        <v>50820.982594027402</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e">
        <f t="shared" ref="B798:K798" si="414">IF(B791=0,"",-(B789+B790)/B791)</f>
        <v>#VALUE!</v>
      </c>
      <c r="C798" s="2758" t="e">
        <f t="shared" si="414"/>
        <v>#VALUE!</v>
      </c>
      <c r="D798" s="2758" t="e">
        <f t="shared" si="414"/>
        <v>#VALUE!</v>
      </c>
      <c r="E798" s="2758" t="e">
        <f t="shared" si="414"/>
        <v>#VALUE!</v>
      </c>
      <c r="F798" s="2758" t="e">
        <f t="shared" si="414"/>
        <v>#VALUE!</v>
      </c>
      <c r="G798" s="2758" t="e">
        <f t="shared" si="414"/>
        <v>#VALUE!</v>
      </c>
      <c r="H798" s="2758" t="e">
        <f t="shared" si="414"/>
        <v>#VALUE!</v>
      </c>
      <c r="I798" s="2758" t="e">
        <f t="shared" si="414"/>
        <v>#VALUE!</v>
      </c>
      <c r="J798" s="2758" t="e">
        <f t="shared" si="414"/>
        <v>#VALUE!</v>
      </c>
      <c r="K798" s="2758" t="e">
        <f t="shared" si="414"/>
        <v>#VALUE!</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3130</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1773738.2778774172</v>
      </c>
      <c r="C803" s="2757">
        <f>'Part VI-Pro Forma'!C103</f>
        <v>1731081.2712474081</v>
      </c>
      <c r="D803" s="2757">
        <f>'Part VI-Pro Forma'!D103</f>
        <v>1684998.35253893</v>
      </c>
      <c r="E803" s="2757">
        <f>'Part VI-Pro Forma'!E103</f>
        <v>1635214.3764828551</v>
      </c>
      <c r="F803" s="2757">
        <f>'Part VI-Pro Forma'!F103</f>
        <v>1581432.1000686688</v>
      </c>
      <c r="G803" s="2757">
        <f>'Part VI-Pro Forma'!G103</f>
        <v>1523330.4078086154</v>
      </c>
      <c r="H803" s="2757">
        <f>'Part VI-Pro Forma'!H103</f>
        <v>1460562.3944674858</v>
      </c>
      <c r="I803" s="2757">
        <f>'Part VI-Pro Forma'!I103</f>
        <v>1392753.2938106889</v>
      </c>
      <c r="J803" s="2757">
        <f>'Part VI-Pro Forma'!J103</f>
        <v>1319498.2410038689</v>
      </c>
      <c r="K803" s="2757">
        <f>'Part VI-Pro Forma'!K103</f>
        <v>1240359.8553041304</v>
      </c>
    </row>
    <row r="804" spans="1:11">
      <c r="A804" s="356" t="s">
        <v>2400</v>
      </c>
      <c r="B804" s="2757">
        <f>'Part VI-Pro Forma'!B104</f>
        <v>659200.34176883264</v>
      </c>
      <c r="C804" s="2757">
        <f>'Part VI-Pro Forma'!C104</f>
        <v>666852.99918630673</v>
      </c>
      <c r="D804" s="2757">
        <f>'Part VI-Pro Forma'!D104</f>
        <v>674896.07445019076</v>
      </c>
      <c r="E804" s="2757">
        <f>'Part VI-Pro Forma'!E104</f>
        <v>683388.4157360805</v>
      </c>
      <c r="F804" s="2757">
        <f>'Part VI-Pro Forma'!F104</f>
        <v>692393.00131362211</v>
      </c>
      <c r="G804" s="2757">
        <f>'Part VI-Pro Forma'!G104</f>
        <v>701977.94851823372</v>
      </c>
      <c r="H804" s="2757">
        <f>'Part VI-Pro Forma'!H104</f>
        <v>712216.03866980318</v>
      </c>
      <c r="I804" s="2757">
        <f>'Part VI-Pro Forma'!I104</f>
        <v>723185.49854313594</v>
      </c>
      <c r="J804" s="2757">
        <f>'Part VI-Pro Forma'!J104</f>
        <v>734970.05259589909</v>
      </c>
      <c r="K804" s="2757">
        <f>'Part VI-Pro Forma'!K104</f>
        <v>747659.4895086583</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3713</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3712</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-178627.64290489111</v>
      </c>
      <c r="C820" s="2757">
        <f>'Part VI-Pro Forma'!C120</f>
        <v>-178627.64290489111</v>
      </c>
      <c r="D820" s="2757">
        <f>'Part VI-Pro Forma'!D120</f>
        <v>-178627.64290489111</v>
      </c>
      <c r="E820" s="2757">
        <f>'Part VI-Pro Forma'!E120</f>
        <v>-178627.64290489111</v>
      </c>
      <c r="F820" s="2757">
        <f>'Part VI-Pro Forma'!F120</f>
        <v>-178627.64290489111</v>
      </c>
      <c r="G820" s="2757"/>
      <c r="H820" s="2757"/>
      <c r="I820" s="2757"/>
      <c r="J820" s="2757"/>
      <c r="K820" s="2757"/>
    </row>
    <row r="821" spans="1:11">
      <c r="A821" s="356" t="str">
        <f>$A791</f>
        <v>Mortgage B</v>
      </c>
      <c r="B821" s="2757">
        <f>'Part VI-Pro Forma'!B121</f>
        <v>-16465.301940905854</v>
      </c>
      <c r="C821" s="2757">
        <f>'Part VI-Pro Forma'!C121</f>
        <v>-15929.495077992629</v>
      </c>
      <c r="D821" s="2757">
        <f>'Part VI-Pro Forma'!D121</f>
        <v>-15330.274994333755</v>
      </c>
      <c r="E821" s="2757">
        <f>'Part VI-Pro Forma'!E121</f>
        <v>-14664.661013009245</v>
      </c>
      <c r="F821" s="2757">
        <f>'Part VI-Pro Forma'!F121</f>
        <v>-13929.820371186186</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0</v>
      </c>
      <c r="C825" s="2757">
        <f>'Part VI-Pro Forma'!C125</f>
        <v>0</v>
      </c>
      <c r="D825" s="2757">
        <f>'Part VI-Pro Forma'!D125</f>
        <v>0</v>
      </c>
      <c r="E825" s="2757">
        <f>'Part VI-Pro Forma'!E125</f>
        <v>0</v>
      </c>
      <c r="F825" s="2757">
        <f>'Part VI-Pro Forma'!F125</f>
        <v>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e">
        <f>IF(B821=0,"",-(B819+B820)/B821)</f>
        <v>#VALUE!</v>
      </c>
      <c r="C828" s="2758" t="e">
        <f>IF(C821=0,"",-(C819+C820)/C821)</f>
        <v>#VALUE!</v>
      </c>
      <c r="D828" s="2758" t="e">
        <f>IF(D821=0,"",-(D819+D820)/D821)</f>
        <v>#VALUE!</v>
      </c>
      <c r="E828" s="2758" t="e">
        <f>IF(E821=0,"",-(E819+E820)/E821)</f>
        <v>#VALUE!</v>
      </c>
      <c r="F828" s="2758" t="e">
        <f>IF(F821=0,"",-(F819+F820)/F821)</f>
        <v>#VALUE!</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3130</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1154865.6286099481</v>
      </c>
      <c r="C833" s="2757">
        <f>'Part VI-Pro Forma'!C133</f>
        <v>1062505.1042776911</v>
      </c>
      <c r="D833" s="2757">
        <f>'Part VI-Pro Forma'!D133</f>
        <v>962726.82936044515</v>
      </c>
      <c r="E833" s="2757">
        <f>'Part VI-Pro Forma'!E133</f>
        <v>854935.06207199942</v>
      </c>
      <c r="F833" s="2757">
        <f>'Part VI-Pro Forma'!F133</f>
        <v>738486.21481739357</v>
      </c>
      <c r="G833" s="2757"/>
      <c r="H833" s="2757"/>
      <c r="I833" s="2757"/>
      <c r="J833" s="2757"/>
      <c r="K833" s="2757"/>
    </row>
    <row r="834" spans="1:17">
      <c r="A834" s="356" t="s">
        <v>2400</v>
      </c>
      <c r="B834" s="2757">
        <f>'Part VI-Pro Forma'!B134</f>
        <v>761349.74554704595</v>
      </c>
      <c r="C834" s="2757">
        <f>'Part VI-Pro Forma'!C134</f>
        <v>776143.5036969569</v>
      </c>
      <c r="D834" s="2757">
        <f>'Part VI-Pro Forma'!D134</f>
        <v>792150.31114839716</v>
      </c>
      <c r="E834" s="2757">
        <f>'Part VI-Pro Forma'!E134</f>
        <v>809487.21414733271</v>
      </c>
      <c r="F834" s="2757">
        <f>'Part VI-Pro Forma'!F134</f>
        <v>828278.91286259668</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Lewis Crossing,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4650</v>
      </c>
      <c r="Q846" s="2761" t="s">
        <v>4425</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4651</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5097</v>
      </c>
      <c r="B852" s="2770"/>
      <c r="C852" s="2770"/>
      <c r="D852" s="2770"/>
      <c r="E852" s="2770"/>
      <c r="F852" s="2770"/>
      <c r="G852" s="2770"/>
      <c r="H852" s="2770"/>
      <c r="I852" s="2489"/>
      <c r="J852" s="2489"/>
      <c r="K852" s="2484"/>
      <c r="L852" s="2484"/>
      <c r="M852" s="2484"/>
      <c r="N852" s="2484"/>
      <c r="O852" s="2484"/>
      <c r="P852" s="2489"/>
      <c r="Q852" s="2489"/>
    </row>
    <row r="853" spans="1:17" ht="15">
      <c r="A853" s="2771" t="s">
        <v>2983</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4527</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4653</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The location of Lewis Crossing is perfect for this development. The market study aligns with this statement showing that there is a great need for affordable housing in this area. Lewis Crossing is financially secure. United Bank which is a CDFI, has provided a loan commitment for $500,000.00 and Invest Atlanta has provided a grant commitment for $1,000,000.00 sourced from the Westside Acsencion Fund.</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5098</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3156</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 xml:space="preserve">Lewis Crossing will be a family community providing housing opportunities for families, singles, and seniors. </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4790</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5013</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3156</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All required services determined in the 2024-2025 QAP will be met by Lewis Crossing. Lewis Crossing will be managed by Woda Cooper Companies' property management company (Woda Management &amp; Real Estate, LLC), a company which has an extensive background providing these services.</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3889</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Bowen National Research</v>
      </c>
      <c r="J896" s="2772"/>
      <c r="K896" s="2772"/>
      <c r="L896" s="2772"/>
      <c r="M896" s="2772"/>
      <c r="N896" s="2772"/>
      <c r="O896" s="2772"/>
      <c r="P896" s="2772"/>
      <c r="Q896" s="2772"/>
    </row>
    <row r="897" spans="1:17" ht="15">
      <c r="A897" s="2774"/>
      <c r="B897" s="2484" t="s">
        <v>4655</v>
      </c>
      <c r="C897" s="2484"/>
      <c r="D897" s="2484"/>
      <c r="E897" s="2484"/>
      <c r="F897" s="2484"/>
      <c r="G897" s="2484"/>
      <c r="H897" s="2484"/>
      <c r="I897" s="2484">
        <f>'Part VII-Threshold Criteria'!I54</f>
        <v>0.94899999999999995</v>
      </c>
      <c r="J897" s="2484"/>
      <c r="K897" s="2484"/>
      <c r="L897" s="2779"/>
      <c r="M897" s="2780"/>
      <c r="N897" s="2780"/>
      <c r="O897" s="2780"/>
      <c r="P897" s="2780"/>
      <c r="Q897" s="2487"/>
    </row>
    <row r="898" spans="1:17" ht="15">
      <c r="A898" s="2774"/>
      <c r="B898" s="2484" t="s">
        <v>4656</v>
      </c>
      <c r="C898" s="2484"/>
      <c r="D898" s="2484"/>
      <c r="E898" s="2484"/>
      <c r="F898" s="2484"/>
      <c r="G898" s="2484"/>
      <c r="H898" s="2779" t="s">
        <v>4657</v>
      </c>
      <c r="I898" s="2484">
        <f>'Part VII-Threshold Criteria'!I55</f>
        <v>2.1999999999999999E-2</v>
      </c>
      <c r="J898" s="2484"/>
      <c r="K898" s="2484"/>
      <c r="L898" s="2780"/>
      <c r="M898" s="2781" t="s">
        <v>4658</v>
      </c>
      <c r="N898" s="2484" t="str">
        <f>'Part VII-Threshold Criteria'!N55</f>
        <v>N/A</v>
      </c>
      <c r="O898" s="2484"/>
      <c r="P898" s="2484"/>
      <c r="Q898" s="2484"/>
    </row>
    <row r="899" spans="1:17" ht="15">
      <c r="A899" s="2484"/>
      <c r="B899" s="2776" t="s">
        <v>3156</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 xml:space="preserve">The market study findings are very strong. The overall market occupancy rate is 94.9%. The overall capture rate is 2.2%. </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4659</v>
      </c>
      <c r="C906" s="2484"/>
      <c r="D906" s="2484"/>
      <c r="E906" s="2484"/>
      <c r="F906" s="2484"/>
      <c r="G906" s="2484"/>
      <c r="H906" s="2484"/>
      <c r="I906" s="2484"/>
      <c r="J906" s="2484" t="str">
        <f>'Part VII-Threshold Criteria'!J63</f>
        <v>NA</v>
      </c>
      <c r="K906" s="2484"/>
      <c r="L906" s="2484"/>
      <c r="M906" s="2484"/>
      <c r="N906" s="2484"/>
      <c r="O906" s="2484"/>
      <c r="P906" s="2484"/>
      <c r="Q906" s="2484"/>
    </row>
    <row r="907" spans="1:17" ht="15">
      <c r="A907" s="2774"/>
      <c r="B907" s="2484" t="s">
        <v>3822</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4792</v>
      </c>
      <c r="D908" s="2484"/>
      <c r="E908" s="2484"/>
      <c r="F908" s="2484"/>
      <c r="G908" s="2484"/>
      <c r="H908" s="2484"/>
      <c r="I908" s="2484"/>
      <c r="J908" s="2484"/>
      <c r="K908" s="2484"/>
      <c r="L908" s="2484"/>
      <c r="M908" s="2484"/>
      <c r="N908" s="2484"/>
      <c r="O908" s="2484"/>
      <c r="P908" s="2487" t="str">
        <f>'Part VII-Threshold Criteria'!P65</f>
        <v>N/a</v>
      </c>
      <c r="Q908" s="2487"/>
    </row>
    <row r="909" spans="1:17" ht="15">
      <c r="A909" s="2484"/>
      <c r="B909" s="2776" t="s">
        <v>4653</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Per the 2024-2025 QAP no appraisal was needed until the Threshold Review submission.</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4997</v>
      </c>
      <c r="C916" s="2484"/>
      <c r="D916" s="2484"/>
      <c r="E916" s="2484"/>
      <c r="F916" s="2484"/>
      <c r="G916" s="2484"/>
      <c r="H916" s="2484"/>
      <c r="I916" s="2484"/>
      <c r="J916" s="2484"/>
      <c r="K916" s="2484"/>
      <c r="L916" s="2782" t="str">
        <f>'Part VII-Threshold Criteria'!L73</f>
        <v>United Consulting</v>
      </c>
      <c r="M916" s="2782"/>
      <c r="N916" s="2782"/>
      <c r="O916" s="2782"/>
      <c r="P916" s="2782"/>
      <c r="Q916" s="2782"/>
    </row>
    <row r="917" spans="1:17" ht="15">
      <c r="A917" s="2484"/>
      <c r="B917" s="2484" t="s">
        <v>4660</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4525</v>
      </c>
      <c r="C918" s="2484"/>
      <c r="D918" s="2484"/>
      <c r="E918" s="2484"/>
      <c r="F918" s="2484"/>
      <c r="G918" s="2484"/>
      <c r="H918" s="2484"/>
      <c r="I918" s="2484"/>
      <c r="J918" s="2484"/>
      <c r="K918" s="2484"/>
      <c r="L918" s="2485"/>
      <c r="M918" s="2484"/>
      <c r="N918" s="2484"/>
      <c r="O918" s="2779"/>
      <c r="P918" s="2487" t="str">
        <f>'Part VII-Threshold Criteria'!P75</f>
        <v>Yes</v>
      </c>
      <c r="Q918" s="2487"/>
    </row>
    <row r="919" spans="1:17" ht="15">
      <c r="A919" s="2774"/>
      <c r="B919" s="2484" t="s">
        <v>4661</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4662</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4663</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4664</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4665</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4818</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Soil and groundwater impacts and vapor intrusion risks were noted in the report. Costs to address the mitigation of such findings have been included in the budget. Although no vapor mitigation will be necessary based on there being no ground level units, we will continue to evaluate the vapor pathway in our design process.</v>
      </c>
      <c r="C925" s="2484"/>
      <c r="D925" s="2484"/>
      <c r="E925" s="2484"/>
      <c r="F925" s="2484"/>
      <c r="G925" s="2484"/>
      <c r="H925" s="2484"/>
      <c r="I925" s="2484"/>
      <c r="J925" s="2484"/>
      <c r="K925" s="2484"/>
      <c r="L925" s="2484"/>
      <c r="M925" s="2484"/>
      <c r="N925" s="2484"/>
      <c r="O925" s="2484"/>
      <c r="P925" s="2484"/>
      <c r="Q925" s="2484"/>
    </row>
    <row r="926" spans="1:17" ht="15">
      <c r="A926" s="2484"/>
      <c r="B926" s="2776" t="s">
        <v>3156</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 xml:space="preserve">The Phase I, Phase II and the Environmental Transmittal have been included in Tab 52 and Tab 8. The findings disclosed no major issues and will be addressed and mitigated accordingly in the design process. </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Lewis Crossing Limited Partnership</v>
      </c>
      <c r="H934" s="2484"/>
      <c r="I934" s="2484"/>
      <c r="J934" s="2484"/>
      <c r="K934" s="2484"/>
      <c r="L934" s="2484"/>
      <c r="M934" s="2484"/>
      <c r="N934" s="2484"/>
      <c r="O934" s="2484"/>
      <c r="P934" s="2484"/>
      <c r="Q934" s="2484"/>
    </row>
    <row r="935" spans="1:17" ht="15">
      <c r="A935" s="2484"/>
      <c r="B935" s="2776" t="s">
        <v>3156</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 xml:space="preserve">The Purchase Agreement was entered into between the Seller and Woda Cooper Development, Inc. Woda Cooper Development has assigned the Purchase Agreement to Lewis Crossing Limited Partnership (Owner). Closing shall occur on or before December 15, 2024. The Purchase Agreement and the Assignment have been included in the application. </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3156</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 xml:space="preserve">The Lewis Crossing site location is right on the corner of Chapel Street and Haynes Street, lending itself to easy site access. There will be a vehicular access onto Chapel Street and a pedestrian access on both Chapel Street and Haynes Street. Pimsler Hoss Architects has created a CSDP which is included in Tab 8 as well as Tab 52 of the application. </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3156</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The site is zoned MRC-2. The CSDP attached as part of the application shows the proposed building meeting the current zoning requirements.</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4666</v>
      </c>
      <c r="C956" s="2484"/>
      <c r="D956" s="2484"/>
      <c r="E956" s="2484"/>
      <c r="F956" s="2484"/>
      <c r="G956" s="2484"/>
      <c r="H956" s="2484" t="s">
        <v>4667</v>
      </c>
      <c r="I956" s="2484"/>
      <c r="J956" s="2489" t="str">
        <f>'Part VII-Threshold Criteria'!J113</f>
        <v>NA</v>
      </c>
      <c r="K956" s="2489"/>
      <c r="L956" s="2489"/>
      <c r="M956" s="2489"/>
      <c r="N956" s="2489"/>
      <c r="O956" s="2489"/>
      <c r="P956" s="2489"/>
      <c r="Q956" s="2489"/>
    </row>
    <row r="957" spans="1:17" ht="15">
      <c r="A957" s="2774"/>
      <c r="B957" s="2774"/>
      <c r="C957" s="2484"/>
      <c r="D957" s="2484"/>
      <c r="E957" s="2484"/>
      <c r="F957" s="2484"/>
      <c r="G957" s="2484"/>
      <c r="H957" s="2484" t="s">
        <v>4668</v>
      </c>
      <c r="I957" s="2484"/>
      <c r="J957" s="2489" t="str">
        <f>'Part VII-Threshold Criteria'!J114</f>
        <v>Georgia Power</v>
      </c>
      <c r="K957" s="2489"/>
      <c r="L957" s="2489"/>
      <c r="M957" s="2489"/>
      <c r="N957" s="2489"/>
      <c r="O957" s="2489"/>
      <c r="P957" s="2489"/>
      <c r="Q957" s="2489"/>
    </row>
    <row r="958" spans="1:17" ht="15">
      <c r="A958" s="2774"/>
      <c r="B958" s="2776" t="s">
        <v>3156</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Georgia Power will provide power to this site. They have provided a "will-serve" letter confirming the ability to service the site. The letter is included in the application.</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4669</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4670</v>
      </c>
      <c r="C965" s="2484"/>
      <c r="D965" s="2484"/>
      <c r="E965" s="2484"/>
      <c r="F965" s="2484"/>
      <c r="G965" s="2484"/>
      <c r="H965" s="2484" t="s">
        <v>4671</v>
      </c>
      <c r="I965" s="2484"/>
      <c r="J965" s="2489" t="str">
        <f>'Part VII-Threshold Criteria'!J122</f>
        <v xml:space="preserve">City of Atlanta </v>
      </c>
      <c r="K965" s="2489"/>
      <c r="L965" s="2489"/>
      <c r="M965" s="2489"/>
      <c r="N965" s="2489"/>
      <c r="O965" s="2489"/>
      <c r="P965" s="2489"/>
      <c r="Q965" s="2489"/>
    </row>
    <row r="966" spans="1:17" ht="15">
      <c r="A966" s="2484"/>
      <c r="B966" s="2774"/>
      <c r="C966" s="2484"/>
      <c r="D966" s="2484"/>
      <c r="E966" s="2484"/>
      <c r="F966" s="2484"/>
      <c r="G966" s="2484"/>
      <c r="H966" s="2484" t="s">
        <v>4672</v>
      </c>
      <c r="I966" s="2484"/>
      <c r="J966" s="2489" t="str">
        <f>'Part VII-Threshold Criteria'!J123</f>
        <v xml:space="preserve">City of Atlanta </v>
      </c>
      <c r="K966" s="2489"/>
      <c r="L966" s="2489"/>
      <c r="M966" s="2489"/>
      <c r="N966" s="2489"/>
      <c r="O966" s="2489"/>
      <c r="P966" s="2489"/>
      <c r="Q966" s="2489"/>
    </row>
    <row r="967" spans="1:17" ht="15">
      <c r="A967" s="2484"/>
      <c r="B967" s="2776" t="s">
        <v>3156</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The City of Atlanta provides the water services to Atlanta. The city of Atlanta has provided a "will-serve" letter which is attached as part of the application.</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4998</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5099</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4609</v>
      </c>
      <c r="D977" s="2484"/>
      <c r="E977" s="2485"/>
      <c r="F977" s="2485"/>
      <c r="G977" s="2485"/>
      <c r="H977" s="2485"/>
      <c r="I977" s="2484"/>
      <c r="J977" s="2779"/>
      <c r="K977" s="2484"/>
      <c r="L977" s="2484"/>
      <c r="M977" s="2489" t="str">
        <f>'Part VII-Threshold Criteria'!M134</f>
        <v>Gazebo</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3661</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5100</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5101</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Furnished Exercise /Fitness Center</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Equipped Computer Center and WiFi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3156</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Lewis Crossing will have all required amenities in the 2024-2025 QAP</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3825</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4677</v>
      </c>
      <c r="C993" s="2484"/>
      <c r="D993" s="2484"/>
      <c r="E993" s="2484"/>
      <c r="F993" s="2484"/>
      <c r="G993" s="2484"/>
      <c r="H993" s="2484"/>
      <c r="I993" s="2484"/>
      <c r="J993" s="2484"/>
      <c r="K993" s="2484"/>
      <c r="L993" s="2484"/>
      <c r="M993" s="2484"/>
      <c r="N993" s="2486"/>
      <c r="O993" s="2484"/>
      <c r="P993" s="2489" t="str">
        <f>'Part VII-Threshold Criteria'!P150</f>
        <v>No</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3156</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This section is NA</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2489</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3156</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The CSDP has been included as part of the application. All necessary and required features and details have been called out on the CSDP.</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4094</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4999</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LEED for Homes - Multifamily Mid-Rise</v>
      </c>
      <c r="I1012" s="2489"/>
      <c r="J1012" s="2489"/>
      <c r="K1012" s="2489"/>
      <c r="L1012" s="2489"/>
      <c r="M1012" s="2489"/>
      <c r="N1012" s="2489"/>
      <c r="O1012" s="2489"/>
      <c r="P1012" s="2489"/>
      <c r="Q1012" s="2489"/>
    </row>
    <row r="1013" spans="1:28" ht="15">
      <c r="A1013" s="2484"/>
      <c r="B1013" s="2776" t="s">
        <v>3156</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We have chosen the USGBC LEED for Home certification for Lewis Crossing. The development team is highly experienced with multiple third-party sustainable building programs, including LEED for Home, EarthCraft Home and Zero Energy Ready Home programs. All LIHTC developments in Georgia have achieved to date LEED for Homes Silver, Gold or Platinum certifications. Lewis Crossing will be a LEED for Homes- Multifamily Mid-Rise. We are experienced partnering with 3rd party sustainability consultants.</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3282</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4677</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5000</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5018</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5102</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7" t="s">
        <v>5035</v>
      </c>
      <c r="E1024" s="4007"/>
      <c r="F1024" s="4007"/>
      <c r="G1024" s="4007"/>
      <c r="H1024" s="4007"/>
      <c r="I1024" s="4007"/>
      <c r="J1024" s="4007"/>
      <c r="K1024" s="4007"/>
      <c r="L1024" s="4007"/>
      <c r="M1024" s="4007"/>
      <c r="N1024" s="4007"/>
      <c r="O1024" s="4007"/>
      <c r="P1024" s="2796">
        <f>'Part VIII Scoring Criteria'!J948</f>
        <v>0</v>
      </c>
      <c r="Q1024" s="2796"/>
      <c r="R1024" s="2797"/>
      <c r="S1024" s="2797"/>
      <c r="T1024" s="2797"/>
      <c r="U1024" s="2797"/>
      <c r="V1024" s="2797"/>
      <c r="W1024" s="2797"/>
      <c r="X1024" s="2797"/>
      <c r="Y1024" s="2797"/>
      <c r="Z1024" s="2797"/>
      <c r="AA1024" s="2906"/>
      <c r="AB1024" s="2797"/>
    </row>
    <row r="1025" spans="1:17" ht="15">
      <c r="A1025" s="2484"/>
      <c r="B1025" s="2484"/>
      <c r="C1025" s="2484"/>
      <c r="D1025" s="2484"/>
      <c r="E1025" s="2484"/>
      <c r="F1025" s="2484"/>
      <c r="G1025" s="2484"/>
      <c r="H1025" s="2484"/>
      <c r="I1025" s="2484"/>
      <c r="J1025" s="2484"/>
      <c r="K1025" s="2484"/>
      <c r="L1025" s="2798" t="s">
        <v>4678</v>
      </c>
      <c r="M1025" s="2798"/>
      <c r="N1025" s="2486"/>
      <c r="O1025" s="2484"/>
      <c r="P1025" s="2487"/>
      <c r="Q1025" s="2487"/>
    </row>
    <row r="1026" spans="1:17" ht="15">
      <c r="A1026" s="2774" t="s">
        <v>1838</v>
      </c>
      <c r="B1026" s="2773" t="s">
        <v>4793</v>
      </c>
      <c r="C1026" s="2484"/>
      <c r="D1026" s="2799"/>
      <c r="E1026" s="2799"/>
      <c r="F1026" s="2799"/>
      <c r="G1026" s="2799"/>
      <c r="H1026" s="2799"/>
      <c r="I1026" s="2799"/>
      <c r="J1026" s="2799"/>
      <c r="K1026" s="2799"/>
      <c r="L1026" s="2484" t="s">
        <v>4679</v>
      </c>
      <c r="M1026" s="2486" t="s">
        <v>4680</v>
      </c>
      <c r="N1026" s="2799"/>
      <c r="O1026" s="2779"/>
      <c r="P1026" s="2779"/>
      <c r="Q1026" s="2779"/>
    </row>
    <row r="1027" spans="1:17" ht="15">
      <c r="A1027" s="2774"/>
      <c r="B1027" s="2484" t="s">
        <v>4681</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4794</v>
      </c>
      <c r="O1027" s="2779"/>
      <c r="P1027" s="2489">
        <f>'Part VII-Threshold Criteria'!P184</f>
        <v>3</v>
      </c>
      <c r="Q1027" s="2489"/>
    </row>
    <row r="1028" spans="1:17" ht="14.1" customHeight="1">
      <c r="A1028" s="2774"/>
      <c r="B1028" s="2485"/>
      <c r="C1028" s="2484"/>
      <c r="D1028" s="2484" t="s">
        <v>4795</v>
      </c>
      <c r="E1028" s="2484"/>
      <c r="F1028" s="2484"/>
      <c r="G1028" s="2484"/>
      <c r="H1028" s="2484"/>
      <c r="I1028" s="2484"/>
      <c r="J1028" s="2484"/>
      <c r="K1028" s="2800"/>
      <c r="L1028" s="2794">
        <f>ROUNDUP(L1027*M1028,0)</f>
        <v>2</v>
      </c>
      <c r="M1028" s="2795">
        <f>'DCA Underwriting Assumptions'!$Q$148</f>
        <v>0.4</v>
      </c>
      <c r="N1028" s="2787" t="s">
        <v>4796</v>
      </c>
      <c r="O1028" s="2779"/>
      <c r="P1028" s="2489">
        <f>'Part VII-Threshold Criteria'!P185</f>
        <v>2</v>
      </c>
      <c r="Q1028" s="2489"/>
    </row>
    <row r="1029" spans="1:17" ht="14.1" customHeight="1">
      <c r="A1029" s="2774"/>
      <c r="B1029" s="2484" t="s">
        <v>4682</v>
      </c>
      <c r="C1029" s="2484"/>
      <c r="D1029" s="2484"/>
      <c r="E1029" s="2484"/>
      <c r="F1029" s="2484"/>
      <c r="G1029" s="2484"/>
      <c r="H1029" s="2484"/>
      <c r="I1029" s="2484"/>
      <c r="J1029" s="2484"/>
      <c r="K1029" s="2484"/>
      <c r="L1029" s="2794">
        <f>ROUNDUP('Part V-Revenues &amp; Expenses'!$P$67*M1029,0)</f>
        <v>1</v>
      </c>
      <c r="M1029" s="2795">
        <f>'DCA Underwriting Assumptions'!$Q$149</f>
        <v>0.02</v>
      </c>
      <c r="N1029" s="2787" t="s">
        <v>4794</v>
      </c>
      <c r="O1029" s="2779"/>
      <c r="P1029" s="2489">
        <f>'Part VII-Threshold Criteria'!P186</f>
        <v>2</v>
      </c>
      <c r="Q1029" s="2489"/>
    </row>
    <row r="1030" spans="1:17" ht="15">
      <c r="A1030" s="2774" t="s">
        <v>697</v>
      </c>
      <c r="B1030" s="2773" t="s">
        <v>4797</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4800</v>
      </c>
      <c r="C1031" s="2484"/>
      <c r="D1031" s="2484"/>
      <c r="E1031" s="2484"/>
      <c r="F1031" s="2484"/>
      <c r="G1031" s="2484"/>
      <c r="H1031" s="2484"/>
      <c r="I1031" s="2484"/>
      <c r="J1031" s="2484"/>
      <c r="K1031" s="2484"/>
      <c r="L1031" s="2484"/>
      <c r="M1031" s="2801" t="str">
        <f>'Part VII-Threshold Criteria'!M188</f>
        <v>E&amp;A Team</v>
      </c>
      <c r="N1031" s="2801"/>
      <c r="O1031" s="2801"/>
      <c r="P1031" s="2801"/>
      <c r="Q1031" s="2801"/>
    </row>
    <row r="1032" spans="1:17" ht="15">
      <c r="A1032" s="2774"/>
      <c r="B1032" s="2484"/>
      <c r="C1032" s="2484"/>
      <c r="D1032" s="2484" t="s">
        <v>4798</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4799</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3156</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The Development team is experienced working with thrid party accessibility consultants and has worked with the E&amp;A Team in the past.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3283</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4677</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5001</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4732</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4733</v>
      </c>
      <c r="D1045" s="2772"/>
      <c r="E1045" s="2772"/>
      <c r="F1045" s="2772"/>
      <c r="G1045" s="2772"/>
      <c r="H1045" s="2772" t="str">
        <f>'Part VII-Threshold Criteria'!H202</f>
        <v>Upgraded "architectural dimensional" shingles, or roofing materials  (warranty 40 years or greater)</v>
      </c>
      <c r="I1045" s="2772"/>
      <c r="J1045" s="2772"/>
      <c r="K1045" s="2772"/>
      <c r="L1045" s="2772"/>
      <c r="M1045" s="2772"/>
      <c r="N1045" s="2772"/>
      <c r="O1045" s="2772"/>
      <c r="P1045" s="2772"/>
      <c r="Q1045" s="2772"/>
    </row>
    <row r="1046" spans="1:17" ht="14.1" customHeight="1">
      <c r="A1046" s="2774"/>
      <c r="B1046" s="2785" t="s">
        <v>1613</v>
      </c>
      <c r="C1046" s="2484" t="s">
        <v>4683</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t="str">
        <f>'Part VII-Threshold Criteria'!C204</f>
        <v>NA</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3156</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This is a new construction project. No additional Design Options were requested.</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3281</v>
      </c>
      <c r="B1055" s="2773" t="s">
        <v>4801</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4791</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4802</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4803</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4804</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4805</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4684</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3156</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Watson Pointe Development Team was deemed Qualified as per the letter from DCA dated May 1, 2024.</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3284</v>
      </c>
      <c r="B1068" s="2489" t="s">
        <v>4433</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4685</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4807</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4806</v>
      </c>
      <c r="D1071" s="2783"/>
      <c r="E1071" s="2783"/>
      <c r="F1071" s="2485"/>
      <c r="G1071" s="2772" t="s">
        <v>5002</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4808</v>
      </c>
      <c r="D1072" s="2772"/>
      <c r="E1072" s="2772"/>
      <c r="F1072" s="2772"/>
      <c r="G1072" s="2772" t="s">
        <v>5003</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5103</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5104</v>
      </c>
      <c r="C1074" s="2484"/>
      <c r="D1074" s="2484"/>
      <c r="E1074" s="2484"/>
      <c r="F1074" s="2484"/>
      <c r="G1074" s="2484" t="s">
        <v>5105</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5106</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3156</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This section is NA. We are not applying under the Preservation Set Aside.</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3285</v>
      </c>
      <c r="B1082" s="2489" t="s">
        <v>3270</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3271</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3272</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5004</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3156</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This section is NA. We are not applying under the Non-Profit Set Aside.</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3288</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No</v>
      </c>
      <c r="Q1093" s="2489"/>
    </row>
    <row r="1094" spans="1:17" ht="15">
      <c r="A1094" s="2774"/>
      <c r="B1094" s="2484" t="s">
        <v>3059</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3156</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No legal opinions are required.</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3289</v>
      </c>
      <c r="B1102" s="2489" t="s">
        <v>3813</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4147</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4813</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4812</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3156</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This section is NA. There are no buildings on the site.</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3290</v>
      </c>
      <c r="B1113" s="2489" t="s">
        <v>2502</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5015</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4689</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3156</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The Development Team is committed to AFFH.</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3291</v>
      </c>
      <c r="B1122" s="2773" t="s">
        <v>4814</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4815</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5005</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4816</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5012</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3156</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A MOU was entered into with Partners for HOME to provide referrals for those impacted by homelessness. We have collaborated previously with Partners for HOME. The MOU is included as part of the application.</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3292</v>
      </c>
      <c r="B1133" s="2773" t="s">
        <v>4817</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5006</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3156</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 xml:space="preserve">A tenant selection plan is included as part of the application. </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3293</v>
      </c>
      <c r="B1141" s="2489" t="s">
        <v>4819</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5016</v>
      </c>
      <c r="C1142" s="2484"/>
      <c r="D1142" s="2484"/>
      <c r="E1142" s="2484"/>
      <c r="F1142" s="2484"/>
      <c r="G1142" s="2484"/>
      <c r="H1142" s="2484"/>
      <c r="I1142" s="2484"/>
      <c r="J1142" s="2484"/>
      <c r="K1142" s="2484"/>
      <c r="L1142" s="2484"/>
      <c r="M1142" s="2484"/>
      <c r="N1142" s="2484"/>
      <c r="O1142" s="2484"/>
      <c r="P1142" s="2489">
        <f>'Part VII-Threshold Criteria'!P299</f>
        <v>0</v>
      </c>
      <c r="Q1142" s="2489"/>
    </row>
    <row r="1143" spans="1:17" ht="14.1" customHeight="1">
      <c r="A1143" s="2773"/>
      <c r="B1143" s="2772" t="s">
        <v>4820</v>
      </c>
      <c r="C1143" s="2772"/>
      <c r="D1143" s="2772"/>
      <c r="E1143" s="2772"/>
      <c r="F1143" s="2772"/>
      <c r="G1143" s="2772"/>
      <c r="H1143" s="2772"/>
      <c r="I1143" s="2772"/>
      <c r="J1143" s="2772"/>
      <c r="K1143" s="2772"/>
      <c r="L1143" s="2772"/>
      <c r="M1143" s="2772"/>
      <c r="N1143" s="2772"/>
      <c r="O1143" s="2772"/>
      <c r="P1143" s="2489">
        <f>'Part VII-Threshold Criteria'!P300</f>
        <v>0</v>
      </c>
      <c r="Q1143" s="2489"/>
    </row>
    <row r="1144" spans="1:17" ht="15">
      <c r="A1144" s="2773"/>
      <c r="B1144" s="2776" t="s">
        <v>3156</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This section is NA. There will not be a PBRA Agreement for Lewis Crossing</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3678</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3156</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This project optimizes the utilization of resources. The site is located in an area that shows high need for affordable housing. We have full support from NPU M for this project. We have commitment from United Bank (CDFI) for a Capital Magnet Loan for $500,000.00 and from Invest Atlanta for a Westside Acsencion Fund grant for $1,000,000.00.</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Lewis Crossing,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5014</v>
      </c>
      <c r="B1160" s="2804"/>
      <c r="C1160" s="2804"/>
      <c r="D1160" s="2804"/>
      <c r="E1160" s="2804"/>
      <c r="F1160" s="2804"/>
      <c r="G1160" s="2804"/>
      <c r="H1160" s="2804"/>
      <c r="I1160" s="2804"/>
      <c r="J1160" s="2804"/>
      <c r="K1160" s="2804"/>
      <c r="L1160" s="2804"/>
      <c r="M1160" s="2468" t="s">
        <v>4728</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83.5</v>
      </c>
      <c r="P1163" s="2807">
        <f>P1556</f>
        <v>12</v>
      </c>
      <c r="Q1163" s="1997" t="s">
        <v>4691</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4037</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4747</v>
      </c>
      <c r="B1167" s="2028"/>
      <c r="C1167" s="2028"/>
      <c r="D1167" s="2028"/>
      <c r="E1167" s="2809" t="str">
        <f>IF(OR((C1169-A1169&gt;0),(D1169-A1169&gt;0)),"Points Exceed Max!","")</f>
        <v/>
      </c>
      <c r="F1167" s="1997" t="s">
        <v>4711</v>
      </c>
      <c r="G1167" s="1997"/>
      <c r="H1167" s="1997"/>
      <c r="I1167" s="1997"/>
      <c r="J1167" s="1997" t="s">
        <v>4040</v>
      </c>
      <c r="K1167" s="1997"/>
      <c r="L1167" s="1997"/>
      <c r="M1167" s="1997"/>
      <c r="N1167" s="2017"/>
      <c r="O1167" s="1998" t="s">
        <v>4712</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4728</v>
      </c>
      <c r="B1168" s="1998"/>
      <c r="C1168" s="2012" t="s">
        <v>2881</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4603</v>
      </c>
      <c r="I1169" s="1997"/>
      <c r="J1169" s="1997" t="str">
        <f>'Part VIII Scoring Criteria'!J12</f>
        <v>Atlanta Metro</v>
      </c>
      <c r="K1169" s="1997"/>
      <c r="L1169" s="1997" t="s">
        <v>4604</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4948</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Revitalization/Redevelopment Plans</v>
      </c>
      <c r="D1173" s="1997"/>
      <c r="E1173" s="1997"/>
      <c r="F1173" s="1997"/>
      <c r="G1173" s="1997"/>
      <c r="H1173" s="1997" t="s">
        <v>4949</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5107</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2509</v>
      </c>
      <c r="C1177" s="2028"/>
      <c r="D1177" s="2028"/>
      <c r="E1177" s="2028"/>
      <c r="F1177" s="2028"/>
      <c r="G1177" s="2028"/>
      <c r="H1177" s="2031"/>
      <c r="I1177" s="2028"/>
      <c r="J1177" s="2012"/>
      <c r="K1177" s="1998"/>
      <c r="L1177" s="2810" t="s">
        <v>4892</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4950</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4951</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4952</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3827</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4953</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5108</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5109</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4955</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4956</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4957</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4958</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4472</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4721</v>
      </c>
      <c r="C1195" s="1998"/>
      <c r="D1195" s="2464"/>
      <c r="E1195" s="2464"/>
      <c r="F1195" s="1998"/>
      <c r="G1195" s="1998"/>
      <c r="H1195" s="1998"/>
      <c r="I1195" s="1998"/>
      <c r="J1195" s="2825"/>
      <c r="K1195" s="1998"/>
      <c r="L1195" s="1998"/>
      <c r="M1195" s="2468"/>
      <c r="N1195" s="1998"/>
      <c r="O1195" s="2826" t="s">
        <v>4722</v>
      </c>
      <c r="P1195" s="2826" t="s">
        <v>3067</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4584</v>
      </c>
      <c r="D1196" s="1998"/>
      <c r="E1196" s="1998"/>
      <c r="F1196" s="1998"/>
      <c r="G1196" s="1998">
        <f>'Part VIII Scoring Criteria'!G39</f>
        <v>0</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4959</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4583</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4853</v>
      </c>
      <c r="D1199" s="1998"/>
      <c r="E1199" s="1998"/>
      <c r="F1199" s="1998"/>
      <c r="G1199" s="1998"/>
      <c r="H1199" s="1998"/>
      <c r="I1199" s="1998"/>
      <c r="J1199" s="1998"/>
      <c r="K1199" s="1998"/>
      <c r="L1199" s="1998"/>
      <c r="M1199" s="1998"/>
      <c r="N1199" s="2466"/>
      <c r="O1199" s="2012" t="str">
        <f>'Part VIII Scoring Criteria'!O42</f>
        <v>No</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4473</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4960</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4474</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4961</v>
      </c>
      <c r="C1204" s="2028"/>
      <c r="D1204" s="2035"/>
      <c r="E1204" s="2028"/>
      <c r="F1204" s="2028"/>
      <c r="G1204" s="2028"/>
      <c r="H1204" s="2028"/>
      <c r="I1204" s="2028"/>
      <c r="J1204" s="2028"/>
      <c r="K1204" s="2028"/>
      <c r="L1204" s="2035"/>
      <c r="M1204" s="2017"/>
      <c r="N1204" s="2466"/>
      <c r="O1204" s="2012" t="str">
        <f>'Part VIII Scoring Criteria'!O47</f>
        <v>No</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4854</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5110</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We commit to engage QB's in the development/operation of Lewis Crossing in an amount equal to or above 10% of total construction hard costs as certified by the Independent Auditor Report in the Final Allocation Application. When submitting this report, we will describe the successes, obstacles, and other notes.</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3259</v>
      </c>
      <c r="C1212" s="2028"/>
      <c r="D1212" s="2036"/>
      <c r="E1212" s="2036"/>
      <c r="F1212" s="1998"/>
      <c r="G1212" s="1998"/>
      <c r="H1212" s="1998"/>
      <c r="I1212" s="2028"/>
      <c r="J1212" s="2830"/>
      <c r="K1212" s="2468"/>
      <c r="L1212" s="2810" t="s">
        <v>4892</v>
      </c>
      <c r="M1212" s="2027">
        <v>5</v>
      </c>
      <c r="N1212" s="2012"/>
      <c r="O1212" s="2807">
        <f>'Part VIII Scoring Criteria'!O55</f>
        <v>3</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3260</v>
      </c>
      <c r="C1213" s="2028"/>
      <c r="D1213" s="2028"/>
      <c r="E1213" s="2028"/>
      <c r="F1213" s="2028"/>
      <c r="G1213" s="2028"/>
      <c r="H1213" s="2028"/>
      <c r="I1213" s="2028"/>
      <c r="J1213" s="2028"/>
      <c r="K1213" s="2028"/>
      <c r="L1213" s="2812" t="str">
        <f>IF(O1213&lt;=M1213,"","* * Check Score! * *")</f>
        <v/>
      </c>
      <c r="M1213" s="2012">
        <v>4</v>
      </c>
      <c r="N1213" s="2466"/>
      <c r="O1213" s="2027">
        <f>'Part VIII Scoring Criteria'!O56</f>
        <v>3</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4857</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3072</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3828</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4855</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2988</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2467</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4129</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3764</v>
      </c>
      <c r="C1224" s="1998" t="s">
        <v>3071</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4702</v>
      </c>
      <c r="C1225" s="1998" t="s">
        <v>4701</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4703</v>
      </c>
      <c r="C1226" s="1998" t="s">
        <v>4723</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4856</v>
      </c>
      <c r="C1227" s="1998" t="s">
        <v>4724</v>
      </c>
      <c r="D1227" s="2028"/>
      <c r="E1227" s="2028"/>
      <c r="F1227" s="2028"/>
      <c r="G1227" s="2028"/>
      <c r="H1227" s="2028"/>
      <c r="I1227" s="2466"/>
      <c r="J1227" s="2834">
        <f>'Part VIII Scoring Criteria'!J70</f>
        <v>1500000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1500000</v>
      </c>
      <c r="K1228" s="2834"/>
      <c r="L1228" s="2028"/>
      <c r="M1228" s="2834">
        <f>SUM($M1216:$M1227)</f>
        <v>0</v>
      </c>
      <c r="N1228" s="2834"/>
      <c r="O1228" s="2834"/>
      <c r="P1228" s="2834"/>
      <c r="Q1228" s="2028"/>
      <c r="R1228" s="2028"/>
      <c r="S1228" s="2028"/>
      <c r="T1228" s="2028"/>
      <c r="U1228" s="2028" t="s">
        <v>4729</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4727</v>
      </c>
      <c r="V1229" s="2835" t="s">
        <v>4728</v>
      </c>
      <c r="W1229" s="2835" t="s">
        <v>4727</v>
      </c>
      <c r="X1229" s="2835" t="s">
        <v>4728</v>
      </c>
      <c r="Y1229" s="2835" t="s">
        <v>4727</v>
      </c>
      <c r="Z1229" s="2835" t="s">
        <v>4728</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4132</v>
      </c>
      <c r="J1230" s="2834">
        <f>'Part VIII Scoring Criteria'!J73</f>
        <v>50</v>
      </c>
      <c r="K1230" s="2834"/>
      <c r="L1230" s="1997"/>
      <c r="M1230" s="1997"/>
      <c r="N1230" s="1997"/>
      <c r="O1230" s="2028"/>
      <c r="P1230" s="1997"/>
      <c r="Q1230" s="2028"/>
      <c r="R1230" s="2836" t="s">
        <v>4725</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4133</v>
      </c>
      <c r="J1231" s="2839">
        <f>'Part VIII Scoring Criteria'!J74</f>
        <v>30000</v>
      </c>
      <c r="K1231" s="2839"/>
      <c r="L1231" s="2028"/>
      <c r="M1231" s="2839">
        <f>IF(J1230=0,0,M1228/J1230)</f>
        <v>0</v>
      </c>
      <c r="N1231" s="2839"/>
      <c r="O1231" s="2839"/>
      <c r="P1231" s="2839"/>
      <c r="Q1231" s="2028"/>
      <c r="R1231" s="2836" t="s">
        <v>4726</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4704</v>
      </c>
      <c r="J1232" s="2834">
        <f>'Part VIII Scoring Criteria'!J75</f>
        <v>2</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4858</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4134</v>
      </c>
      <c r="J1233" s="2840">
        <f>'Part VIII Scoring Criteria'!J76</f>
        <v>3</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4859</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4860</v>
      </c>
      <c r="C1235" s="2028"/>
      <c r="D1235" s="1998"/>
      <c r="E1235" s="2028"/>
      <c r="F1235" s="2841" t="s">
        <v>4864</v>
      </c>
      <c r="G1235" s="2028"/>
      <c r="H1235" s="2028"/>
      <c r="I1235" s="2028"/>
      <c r="J1235" s="2028"/>
      <c r="K1235" s="1998"/>
      <c r="L1235" s="2842" t="s">
        <v>4863</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4861</v>
      </c>
      <c r="D1236" s="1998"/>
      <c r="E1236" s="1998"/>
      <c r="F1236" s="2843" t="s">
        <v>4862</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3074</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4960</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4705</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5110</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We have received a grant commitment from Invest Atlanta (Westside Acsencion Fund) for $1,000,000.00 and a loan commitment from United Bank (CDFI) for $500,000.00.</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3906</v>
      </c>
      <c r="C1246" s="1998"/>
      <c r="D1246" s="2464"/>
      <c r="E1246" s="2464"/>
      <c r="F1246" s="1998"/>
      <c r="G1246" s="1998"/>
      <c r="H1246" s="1998"/>
      <c r="I1246" s="1998"/>
      <c r="J1246" s="1998"/>
      <c r="K1246" s="2812"/>
      <c r="L1246" s="2810" t="s">
        <v>4892</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3094</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4742</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4937</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4938</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4743</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4499</v>
      </c>
      <c r="C1257" s="2035"/>
      <c r="D1257" s="2035"/>
      <c r="E1257" s="2035"/>
      <c r="F1257" s="2035"/>
      <c r="G1257" s="2809" t="s">
        <v>4869</v>
      </c>
      <c r="H1257" s="2035"/>
      <c r="I1257" s="2028"/>
      <c r="J1257" s="2028"/>
      <c r="K1257" s="2035"/>
      <c r="L1257" s="2810" t="s">
        <v>4892</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4866</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5021</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4867</v>
      </c>
      <c r="D1260" s="1998"/>
      <c r="E1260" s="1998"/>
      <c r="F1260" s="1998"/>
      <c r="G1260" s="1998"/>
      <c r="H1260" s="1998"/>
      <c r="I1260" s="1998"/>
      <c r="J1260" s="2850" t="s">
        <v>4678</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4868</v>
      </c>
      <c r="D1261" s="1998"/>
      <c r="E1261" s="1998"/>
      <c r="F1261" s="1998"/>
      <c r="G1261" s="1998"/>
      <c r="H1261" s="1998"/>
      <c r="I1261" s="2034"/>
      <c r="J1261" s="2851" t="s">
        <v>4679</v>
      </c>
      <c r="K1261" s="2033" t="s">
        <v>4680</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5020</v>
      </c>
      <c r="C1262" s="2028"/>
      <c r="D1262" s="2028"/>
      <c r="E1262" s="2028"/>
      <c r="F1262" s="2028"/>
      <c r="G1262" s="2028"/>
      <c r="H1262" s="2810"/>
      <c r="I1262" s="2028"/>
      <c r="J1262" s="2030">
        <f>'Part VIII Scoring Criteria'!J105</f>
        <v>5</v>
      </c>
      <c r="K1262" s="2851">
        <v>0.1</v>
      </c>
      <c r="L1262" s="2028"/>
      <c r="M1262" s="2810" t="s">
        <v>5038</v>
      </c>
      <c r="N1262" s="2017"/>
      <c r="O1262" s="2027">
        <f>'Part VIII Scoring Criteria'!O105</f>
        <v>5</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5111</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4135</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4865</v>
      </c>
      <c r="C1265" s="1998"/>
      <c r="D1265" s="1998"/>
      <c r="E1265" s="1998"/>
      <c r="F1265" s="1998"/>
      <c r="G1265" s="2852" t="s">
        <v>4870</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3094</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3095</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5110</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 xml:space="preserve">Lewis Pointe will reserve 10% of the units to prioritize referrals from Partners for HOME, a DCA- approved entity as per the attached MOU. Lewis Crossing will be a development that will have referrals without a PBRA contract. </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4844</v>
      </c>
      <c r="C1274" s="1998"/>
      <c r="D1274" s="2464"/>
      <c r="E1274" s="2464"/>
      <c r="F1274" s="1998"/>
      <c r="G1274" s="1998"/>
      <c r="H1274" s="1998"/>
      <c r="I1274" s="1998"/>
      <c r="J1274" s="1998"/>
      <c r="K1274" s="1998"/>
      <c r="L1274" s="2810" t="s">
        <v>4892</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4887</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4964</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4968</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4962</v>
      </c>
      <c r="D1278" s="1998"/>
      <c r="E1278" s="1998"/>
      <c r="F1278" s="2468"/>
      <c r="G1278" s="1998"/>
      <c r="H1278" s="1998"/>
      <c r="I1278" s="2468"/>
      <c r="J1278" s="2012" t="s">
        <v>4963</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4965</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4966</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4889</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4890</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4967</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5009</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5010</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4969</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4970</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4891</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4971</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4888</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NA as the narraitive is only required for a 4% application.</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5110</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 xml:space="preserve">Readiness to Proceed documents have been saved in folder 52AddlDoc. </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3065</v>
      </c>
      <c r="C1298" s="1998"/>
      <c r="D1298" s="1998"/>
      <c r="E1298" s="1998"/>
      <c r="F1298" s="1998"/>
      <c r="G1298" s="1997"/>
      <c r="H1298" s="1998"/>
      <c r="I1298" s="1997"/>
      <c r="J1298" s="2468"/>
      <c r="K1298" s="2857" t="s">
        <v>4939</v>
      </c>
      <c r="L1298" s="2810" t="s">
        <v>4892</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3693</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4707</v>
      </c>
      <c r="C1300" s="1998"/>
      <c r="D1300" s="1998"/>
      <c r="E1300" s="1998"/>
      <c r="F1300" s="1998"/>
      <c r="G1300" s="2861"/>
      <c r="H1300" s="2028" t="s">
        <v>4540</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3688</v>
      </c>
      <c r="D1301" s="1998"/>
      <c r="E1301" s="1998"/>
      <c r="F1301" s="1998"/>
      <c r="G1301" s="1998"/>
      <c r="H1301" s="1998" t="s">
        <v>3689</v>
      </c>
      <c r="I1301" s="1998"/>
      <c r="J1301" s="1998"/>
      <c r="K1301" s="2864">
        <f>'Part V-Revenues &amp; Expenses'!$B$50</f>
        <v>57.8</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3690</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4710</v>
      </c>
      <c r="C1304" s="2028"/>
      <c r="D1304" s="2028"/>
      <c r="E1304" s="2028"/>
      <c r="F1304" s="2028"/>
      <c r="G1304" s="2028"/>
      <c r="H1304" s="2029" t="s">
        <v>4692</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4845</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4972</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5110</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 xml:space="preserve">We agree to commit to register to being a participating landlord with the local Housing Choice Voucher (HCV) administrator. </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3280</v>
      </c>
      <c r="C1317" s="2028"/>
      <c r="D1317" s="2028"/>
      <c r="E1317" s="2028"/>
      <c r="F1317" s="2028"/>
      <c r="G1317" s="2028"/>
      <c r="H1317" s="2028"/>
      <c r="I1317" s="2028"/>
      <c r="J1317" s="2028"/>
      <c r="K1317" s="2028"/>
      <c r="L1317" s="2810" t="s">
        <v>4892</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3196</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5110</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Lewis Crossing is located in downtown Atlanta and is surrounded by many amenities in the vicinity totaling more than the max score allowed for Desirables.</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4892</v>
      </c>
      <c r="M1326" s="2468">
        <v>6</v>
      </c>
      <c r="N1326" s="2466"/>
      <c r="O1326" s="2807">
        <f>'Part VIII Scoring Criteria'!O169</f>
        <v>4.5</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3239</v>
      </c>
      <c r="C1328" s="2028"/>
      <c r="D1328" s="2028"/>
      <c r="E1328" s="2028"/>
      <c r="F1328" s="1998" t="s">
        <v>3132</v>
      </c>
      <c r="G1328" s="1998"/>
      <c r="H1328" s="1998"/>
      <c r="I1328" s="1998"/>
      <c r="J1328" s="1998" t="s">
        <v>3133</v>
      </c>
      <c r="K1328" s="1998"/>
      <c r="L1328" s="1998"/>
      <c r="M1328" s="1998"/>
      <c r="N1328" s="2466"/>
      <c r="O1328" s="2871" t="s">
        <v>4693</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4694</v>
      </c>
      <c r="D1329" s="2028"/>
      <c r="E1329" s="2028"/>
      <c r="F1329" s="1998">
        <f>'Part VIII Scoring Criteria'!F172</f>
        <v>33.752074999999998</v>
      </c>
      <c r="G1329" s="1998"/>
      <c r="H1329" s="1998"/>
      <c r="I1329" s="1998"/>
      <c r="J1329" s="1998">
        <f>'Part VIII Scoring Criteria'!J172</f>
        <v>-84.401304999999994</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4695</v>
      </c>
      <c r="D1330" s="2028"/>
      <c r="E1330" s="2028"/>
      <c r="F1330" s="1998">
        <f>'Part VIII Scoring Criteria'!F173</f>
        <v>33.756433999999999</v>
      </c>
      <c r="G1330" s="1998"/>
      <c r="H1330" s="1998"/>
      <c r="I1330" s="1998"/>
      <c r="J1330" s="1998">
        <f>'Part VIII Scoring Criteria'!J173</f>
        <v>-84.403592000000003</v>
      </c>
      <c r="K1330" s="1998"/>
      <c r="L1330" s="1998"/>
      <c r="M1330" s="1998"/>
      <c r="N1330" s="2466"/>
      <c r="O1330" s="2873">
        <f>'Part VIII Scoring Criteria'!O173</f>
        <v>0.4</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4716</v>
      </c>
      <c r="C1331" s="2028"/>
      <c r="D1331" s="2028"/>
      <c r="E1331" s="2028"/>
      <c r="F1331" s="2017" t="s">
        <v>4696</v>
      </c>
      <c r="G1331" s="1998" t="s">
        <v>1667</v>
      </c>
      <c r="H1331" s="1998"/>
      <c r="I1331" s="1998"/>
      <c r="J1331" s="1998" t="s">
        <v>4713</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Vine City Transit Hub</v>
      </c>
      <c r="C1332" s="1998"/>
      <c r="D1332" s="1998"/>
      <c r="E1332" s="1998"/>
      <c r="F1332" s="2874" t="str">
        <f>'Part VIII Scoring Criteria'!F175</f>
        <v>404-848-5000</v>
      </c>
      <c r="G1332" s="1998" t="str">
        <f>'Part VIII Scoring Criteria'!G175</f>
        <v>custserv@itsmarta.com</v>
      </c>
      <c r="H1332" s="1998"/>
      <c r="I1332" s="1998"/>
      <c r="J1332" s="1998" t="str">
        <f>'Part VIII Scoring Criteria'!J175</f>
        <v>https://www.itsmarta.com/Vine-City.aspx</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3154</v>
      </c>
      <c r="C1334" s="2028"/>
      <c r="D1334" s="2028"/>
      <c r="E1334" s="2028"/>
      <c r="F1334" s="2464"/>
      <c r="G1334" s="2028"/>
      <c r="H1334" s="2028"/>
      <c r="I1334" s="2028"/>
      <c r="J1334" s="2028"/>
      <c r="K1334" s="2028"/>
      <c r="L1334" s="2842" t="s">
        <v>4863</v>
      </c>
      <c r="M1334" s="2468">
        <v>6</v>
      </c>
      <c r="N1334" s="2845"/>
      <c r="O1334" s="2807">
        <f>'Part VIII Scoring Criteria'!O177</f>
        <v>4.5</v>
      </c>
      <c r="P1334" s="2807">
        <f>'Part VIII Scoring Criteria'!P177</f>
        <v>0</v>
      </c>
      <c r="Q1334" s="2468"/>
      <c r="R1334" s="2028"/>
      <c r="S1334" s="2876" t="s">
        <v>4160</v>
      </c>
      <c r="T1334" s="2876" t="s">
        <v>4045</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5112</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4562</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5113</v>
      </c>
      <c r="D1336" s="1998"/>
      <c r="E1336" s="1998"/>
      <c r="F1336" s="1998"/>
      <c r="G1336" s="1998"/>
      <c r="H1336" s="1998"/>
      <c r="I1336" s="1998"/>
      <c r="J1336" s="1998"/>
      <c r="K1336" s="1998"/>
      <c r="L1336" s="2812" t="str">
        <f t="shared" si="424"/>
        <v>* * Check Score! * *</v>
      </c>
      <c r="M1336" s="2012">
        <v>5</v>
      </c>
      <c r="N1336" s="2847"/>
      <c r="O1336" s="2807">
        <f>'Part VIII Scoring Criteria'!O179</f>
        <v>4.5</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3155</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5114</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4563</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5115</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5116</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5110</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Lewis Crossing is 0.4 miles from the Vine City Transit Hub.</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4049</v>
      </c>
      <c r="C1347" s="2035"/>
      <c r="D1347" s="2035"/>
      <c r="E1347" s="2035"/>
      <c r="F1347" s="2028"/>
      <c r="G1347" s="2468"/>
      <c r="H1347" s="2814"/>
      <c r="I1347" s="2028"/>
      <c r="J1347" s="2028"/>
      <c r="K1347" s="2028"/>
      <c r="L1347" s="2810" t="s">
        <v>4892</v>
      </c>
      <c r="M1347" s="2468">
        <v>3</v>
      </c>
      <c r="N1347" s="2033"/>
      <c r="O1347" s="2027">
        <f>'Part VIII Scoring Criteria'!O190</f>
        <v>3</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5117</v>
      </c>
      <c r="G1348" s="2826"/>
      <c r="H1348" s="2826" t="s">
        <v>5118</v>
      </c>
      <c r="I1348" s="2826"/>
      <c r="J1348" s="2826" t="s">
        <v>5119</v>
      </c>
      <c r="K1348" s="2881"/>
      <c r="L1348" s="2826" t="s">
        <v>4717</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4524</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Centennial Academy</v>
      </c>
      <c r="C1351" s="1998"/>
      <c r="D1351" s="1998"/>
      <c r="E1351" s="1998"/>
      <c r="F1351" s="1998" t="str">
        <f>'Part VIII Scoring Criteria'!F194</f>
        <v>No</v>
      </c>
      <c r="G1351" s="1998"/>
      <c r="H1351" s="1998" t="str">
        <f>'Part VIII Scoring Criteria'!H194</f>
        <v>Yes</v>
      </c>
      <c r="I1351" s="1998"/>
      <c r="J1351" s="1998" t="str">
        <f>'Part VIII Scoring Criteria'!J194</f>
        <v>Yes</v>
      </c>
      <c r="K1351" s="1998"/>
      <c r="L1351" s="1997" t="str">
        <f>'Part VIII Scoring Criteria'!L194</f>
        <v>Yes</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Centennial Academy</v>
      </c>
      <c r="C1352" s="1998"/>
      <c r="D1352" s="1998"/>
      <c r="E1352" s="1998"/>
      <c r="F1352" s="1998" t="str">
        <f>'Part VIII Scoring Criteria'!F195</f>
        <v>No</v>
      </c>
      <c r="G1352" s="1998"/>
      <c r="H1352" s="1998" t="str">
        <f>'Part VIII Scoring Criteria'!H195</f>
        <v>Yes</v>
      </c>
      <c r="I1352" s="1998"/>
      <c r="J1352" s="1998" t="str">
        <f>'Part VIII Scoring Criteria'!J195</f>
        <v>Yes</v>
      </c>
      <c r="K1352" s="1998"/>
      <c r="L1352" s="1997" t="str">
        <f>'Part VIII Scoring Criteria'!L195</f>
        <v>Yes</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 xml:space="preserve">Midtown High School </v>
      </c>
      <c r="C1353" s="1998"/>
      <c r="D1353" s="1998"/>
      <c r="E1353" s="1998"/>
      <c r="F1353" s="1998" t="str">
        <f>'Part VIII Scoring Criteria'!F196</f>
        <v>Yes</v>
      </c>
      <c r="G1353" s="1998"/>
      <c r="H1353" s="1998" t="str">
        <f>'Part VIII Scoring Criteria'!H196</f>
        <v>Yes</v>
      </c>
      <c r="I1353" s="1998"/>
      <c r="J1353" s="1998" t="str">
        <f>'Part VIII Scoring Criteria'!J196</f>
        <v>Yes</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5110</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Midtown High School is formally known as Henry W. Grady Highschool. The tenants at Lewis Crossing can attend Centennial Academy by right and the supporting documentation can be found in Tab 13.</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2489</v>
      </c>
      <c r="B1363" s="2464" t="s">
        <v>3252</v>
      </c>
      <c r="C1363" s="1998"/>
      <c r="D1363" s="2464"/>
      <c r="E1363" s="2464"/>
      <c r="F1363" s="1998"/>
      <c r="G1363" s="1998"/>
      <c r="H1363" s="1998"/>
      <c r="I1363" s="1998"/>
      <c r="J1363" s="1998"/>
      <c r="K1363" s="2842"/>
      <c r="L1363" s="2810" t="s">
        <v>4892</v>
      </c>
      <c r="M1363" s="2468">
        <v>10</v>
      </c>
      <c r="N1363" s="2012"/>
      <c r="O1363" s="2807">
        <f>'Part VIII Scoring Criteria'!O206</f>
        <v>8</v>
      </c>
      <c r="P1363" s="2807">
        <f>'Part VIII Scoring Criteria'!P206</f>
        <v>0</v>
      </c>
      <c r="Q1363" s="2468" t="s">
        <v>415</v>
      </c>
      <c r="R1363" s="2884" t="s">
        <v>4995</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5017</v>
      </c>
      <c r="G1364" s="1998"/>
      <c r="H1364" s="1998"/>
      <c r="I1364" s="1998"/>
      <c r="J1364" s="1998"/>
      <c r="K1364" s="1998"/>
      <c r="L1364" s="2471"/>
      <c r="M1364" s="2468"/>
      <c r="N1364" s="2012"/>
      <c r="O1364" s="2027">
        <f>'Part VIII Scoring Criteria'!O207</f>
        <v>11</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5120</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4893</v>
      </c>
      <c r="D1366" s="2034"/>
      <c r="E1366" s="2034"/>
      <c r="F1366" s="2034"/>
      <c r="G1366" s="2034"/>
      <c r="H1366" s="2034"/>
      <c r="I1366" s="2034"/>
      <c r="J1366" s="2034"/>
      <c r="K1366" s="2034"/>
      <c r="L1366" s="2820"/>
      <c r="M1366" s="2028"/>
      <c r="N1366" s="2882">
        <f>'Part VIII Scoring Criteria'!N209</f>
        <v>5</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4699</v>
      </c>
      <c r="D1367" s="1998"/>
      <c r="E1367" s="1998"/>
      <c r="F1367" s="1998"/>
      <c r="G1367" s="1998"/>
      <c r="H1367" s="1998"/>
      <c r="I1367" s="1998"/>
      <c r="J1367" s="1998"/>
      <c r="K1367" s="1998"/>
      <c r="L1367" s="2466"/>
      <c r="M1367" s="1998"/>
      <c r="N1367" s="2882">
        <f>'Part VIII Scoring Criteria'!N210</f>
        <v>2</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4894</v>
      </c>
      <c r="D1368" s="1998"/>
      <c r="E1368" s="1998"/>
      <c r="F1368" s="1998"/>
      <c r="G1368" s="1998"/>
      <c r="H1368" s="1998"/>
      <c r="I1368" s="1998"/>
      <c r="J1368" s="1998"/>
      <c r="K1368" s="1998"/>
      <c r="L1368" s="2466"/>
      <c r="M1368" s="1998"/>
      <c r="N1368" s="2882" t="str">
        <f>'Part VIII Scoring Criteria'!N211</f>
        <v>see letter from Invest Atlanta</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4073</v>
      </c>
      <c r="C1369" s="1998"/>
      <c r="D1369" s="1998"/>
      <c r="E1369" s="1998"/>
      <c r="F1369" s="1998"/>
      <c r="G1369" s="1998"/>
      <c r="H1369" s="1998"/>
      <c r="I1369" s="1998"/>
      <c r="J1369" s="1998"/>
      <c r="K1369" s="1998"/>
      <c r="L1369" s="2842" t="s">
        <v>4892</v>
      </c>
      <c r="M1369" s="2012">
        <v>6</v>
      </c>
      <c r="N1369" s="2466"/>
      <c r="O1369" s="2027">
        <f>'Part VIII Scoring Criteria'!O212</f>
        <v>5</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4895</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5121</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4973</v>
      </c>
      <c r="C1372" s="2028"/>
      <c r="D1372" s="2034"/>
      <c r="E1372" s="2034"/>
      <c r="F1372" s="2034"/>
      <c r="G1372" s="2034"/>
      <c r="H1372" s="2034"/>
      <c r="I1372" s="2034"/>
      <c r="J1372" s="2028"/>
      <c r="K1372" s="2012"/>
      <c r="L1372" s="2842" t="s">
        <v>4892</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4974</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4897</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4898</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4899</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4901</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5011</v>
      </c>
      <c r="D1378" s="2028"/>
      <c r="E1378" s="2035"/>
      <c r="F1378" s="2035"/>
      <c r="G1378" s="2035"/>
      <c r="H1378" s="2035"/>
      <c r="I1378" s="2035"/>
      <c r="J1378" s="2035"/>
      <c r="K1378" s="2035"/>
      <c r="L1378" s="2812" t="str">
        <f t="shared" si="427"/>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3308</v>
      </c>
      <c r="C1379" s="2035"/>
      <c r="D1379" s="2035"/>
      <c r="E1379" s="2035"/>
      <c r="F1379" s="2035"/>
      <c r="G1379" s="2035"/>
      <c r="H1379" s="2035"/>
      <c r="I1379" s="2035"/>
      <c r="J1379" s="2035"/>
      <c r="K1379" s="2035"/>
      <c r="L1379" s="2842" t="s">
        <v>4892</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4975</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4902</v>
      </c>
      <c r="D1381" s="2035"/>
      <c r="E1381" s="2035"/>
      <c r="F1381" s="2035"/>
      <c r="G1381" s="2035"/>
      <c r="H1381" s="2035"/>
      <c r="I1381" s="2028"/>
      <c r="J1381" s="2028"/>
      <c r="K1381" s="2028"/>
      <c r="L1381" s="2842" t="s">
        <v>4892</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4976</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4903</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4977</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4904</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4851</v>
      </c>
      <c r="C1386" s="2028"/>
      <c r="D1386" s="1998"/>
      <c r="E1386" s="2028"/>
      <c r="F1386" s="2887"/>
      <c r="G1386" s="2028"/>
      <c r="H1386" s="2028"/>
      <c r="I1386" s="2028"/>
      <c r="J1386" s="2028"/>
      <c r="K1386" s="2471"/>
      <c r="L1386" s="2842" t="s">
        <v>4892</v>
      </c>
      <c r="M1386" s="2468">
        <v>3</v>
      </c>
      <c r="N1386" s="2466"/>
      <c r="O1386" s="2807">
        <f>'Part VIII Scoring Criteria'!O229</f>
        <v>3</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3697</v>
      </c>
      <c r="D1387" s="2035"/>
      <c r="E1387" s="2035"/>
      <c r="F1387" s="2035"/>
      <c r="G1387" s="2035"/>
      <c r="H1387" s="2035"/>
      <c r="I1387" s="2035"/>
      <c r="J1387" s="2035"/>
      <c r="K1387" s="2035"/>
      <c r="L1387" s="2842" t="s">
        <v>4892</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4905</v>
      </c>
      <c r="D1388" s="2035"/>
      <c r="E1388" s="2035"/>
      <c r="F1388" s="2035"/>
      <c r="G1388" s="2035"/>
      <c r="H1388" s="2035"/>
      <c r="I1388" s="2035"/>
      <c r="J1388" s="2035"/>
      <c r="K1388" s="2035"/>
      <c r="L1388" s="2035"/>
      <c r="M1388" s="2033">
        <v>1</v>
      </c>
      <c r="N1388" s="2033"/>
      <c r="O1388" s="2807">
        <f>'Part VIII Scoring Criteria'!O231</f>
        <v>1</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5110</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Lewis Crossing is located within the boundaries of the Westside TAD. The City of Atlanta received public input prior to the adoption and readoption of this qualified CRP. The CRP was created to improve infrastructure and to further enhance living in the community, including additional housing. The improvements to the infrastructure are realized thanks to third-party capital investments. All the documentation on the Westside TAD can be found in Tab 14.</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2491</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4995</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5017</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4906</v>
      </c>
      <c r="C1397" s="1998"/>
      <c r="D1397" s="2464"/>
      <c r="E1397" s="2464"/>
      <c r="F1397" s="1998"/>
      <c r="G1397" s="1998"/>
      <c r="H1397" s="1998"/>
      <c r="I1397" s="1998"/>
      <c r="J1397" s="2468" t="s">
        <v>2881</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4978</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5122</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4980</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4910</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4981</v>
      </c>
      <c r="C1402" s="2028"/>
      <c r="D1402" s="2833"/>
      <c r="E1402" s="2833" t="s">
        <v>4982</v>
      </c>
      <c r="F1402" s="2833"/>
      <c r="G1402" s="2833"/>
      <c r="H1402" s="2890" t="s">
        <v>4720</v>
      </c>
      <c r="I1402" s="2833" t="s">
        <v>5123</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4984</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4986</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4987</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4988</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4112</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5110</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 xml:space="preserve">This section is NA as we are not applying under the Stable Communites section. </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3282</v>
      </c>
      <c r="B1414" s="2464" t="s">
        <v>3254</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4995</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3179</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3180</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5110</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 xml:space="preserve">This section is NA as we are not applying under the Community Designations section. </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3283</v>
      </c>
      <c r="B1423" s="2464" t="s">
        <v>3907</v>
      </c>
      <c r="C1423" s="2028"/>
      <c r="D1423" s="2028"/>
      <c r="E1423" s="2814" t="str">
        <f>IF(AND(O1423&gt;0,NOT($F$12="New Affordability"),NOT($O$12="9%")), "Ineligible, not New Affordability and 9%!","")</f>
        <v/>
      </c>
      <c r="F1423" s="2028"/>
      <c r="G1423" s="2826">
        <f>$O$12</f>
        <v>0</v>
      </c>
      <c r="H1423" s="2841">
        <f>$J$12</f>
        <v>0</v>
      </c>
      <c r="I1423" s="2028"/>
      <c r="J1423" s="2028"/>
      <c r="K1423" s="2028"/>
      <c r="L1423" s="2810" t="s">
        <v>4892</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4153</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4700</v>
      </c>
      <c r="H1425" s="2028" t="s">
        <v>573</v>
      </c>
      <c r="I1425" s="2028"/>
      <c r="J1425" s="2028"/>
      <c r="K1425" s="2028" t="s">
        <v>4738</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4154</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4155</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5110</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 xml:space="preserve">This section is NA as we are not applying under the Phased Development section. </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3281</v>
      </c>
      <c r="B1435" s="2464" t="s">
        <v>3835</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4892</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4914</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4915</v>
      </c>
      <c r="C1437" s="1998"/>
      <c r="D1437" s="1998"/>
      <c r="E1437" s="1998"/>
      <c r="F1437" s="1998"/>
      <c r="G1437" s="1998"/>
      <c r="H1437" s="1998"/>
      <c r="I1437" s="1998"/>
      <c r="J1437" s="1998"/>
      <c r="K1437" s="1998"/>
      <c r="L1437" s="2842" t="s">
        <v>4892</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4989</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4990</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4916</v>
      </c>
      <c r="C1440" s="1998"/>
      <c r="D1440" s="1998"/>
      <c r="E1440" s="1998"/>
      <c r="F1440" s="1998"/>
      <c r="G1440" s="1998"/>
      <c r="H1440" s="1998"/>
      <c r="I1440" s="1998"/>
      <c r="J1440" s="1998"/>
      <c r="K1440" s="1998"/>
      <c r="L1440" s="2842" t="s">
        <v>4892</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4918</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4921</v>
      </c>
      <c r="D1442" s="2028"/>
      <c r="E1442" s="2028"/>
      <c r="F1442" s="2028"/>
      <c r="G1442" s="2028"/>
      <c r="H1442" s="2028"/>
      <c r="I1442" s="2028"/>
      <c r="J1442" s="2028"/>
      <c r="K1442" s="2028"/>
      <c r="L1442" s="2028"/>
      <c r="M1442" s="2028"/>
      <c r="N1442" s="2017"/>
      <c r="O1442" s="2027" t="str">
        <f>'Part VIII Scoring Criteria'!O293</f>
        <v>Yes</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4917</v>
      </c>
      <c r="C1443" s="2028"/>
      <c r="D1443" s="2028"/>
      <c r="E1443" s="2028"/>
      <c r="F1443" s="2028"/>
      <c r="G1443" s="2031"/>
      <c r="H1443" s="2028"/>
      <c r="I1443" s="2811"/>
      <c r="J1443" s="2028"/>
      <c r="K1443" s="2028"/>
      <c r="L1443" s="2842" t="s">
        <v>4892</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4991</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5110</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Lewis Crossing scores 3 points as there have been "no awards within a one-mile radius of site and site within one-mile radius of transit hub" within the last three years.</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3284</v>
      </c>
      <c r="B1452" s="2464" t="s">
        <v>4846</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4892</v>
      </c>
      <c r="M1452" s="2468">
        <v>10</v>
      </c>
      <c r="N1452" s="2012"/>
      <c r="O1452" s="2027">
        <f>'Part VIII Scoring Criteria'!O303</f>
        <v>0</v>
      </c>
      <c r="P1452" s="2027">
        <f>'Part VIII Scoring Criteria'!P303</f>
        <v>0</v>
      </c>
      <c r="Q1452" s="2468" t="s">
        <v>415</v>
      </c>
      <c r="R1452" s="2884" t="s">
        <v>4995</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4908</v>
      </c>
      <c r="D1454" s="2464"/>
      <c r="E1454" s="2464"/>
      <c r="F1454" s="1998"/>
      <c r="G1454" s="1998"/>
      <c r="H1454" s="1998"/>
      <c r="I1454" s="1998"/>
      <c r="J1454" s="2468" t="s">
        <v>2881</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3307</v>
      </c>
      <c r="E1455" s="2464"/>
      <c r="F1455" s="1998"/>
      <c r="G1455" s="1998"/>
      <c r="H1455" s="1998"/>
      <c r="I1455" s="1998"/>
      <c r="J1455" s="2897">
        <f>'Part VIII Scoring Criteria'!J306</f>
        <v>8</v>
      </c>
      <c r="K1455" s="2897">
        <f>'Part VIII Scoring Criteria'!K306</f>
        <v>0</v>
      </c>
      <c r="L1455" s="2471"/>
      <c r="M1455" s="1998" t="str">
        <f>'Part VIII Scoring Criteria'!M306</f>
        <v>Atlanta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3909</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4919</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4920</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5110</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 xml:space="preserve">This section is NA as we are not applying under the Housing Needs Charateristics section. </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3285</v>
      </c>
      <c r="B1466" s="2464" t="s">
        <v>4847</v>
      </c>
      <c r="C1466" s="1998"/>
      <c r="D1466" s="2464"/>
      <c r="E1466" s="2464"/>
      <c r="F1466" s="1998"/>
      <c r="G1466" s="1998" t="str">
        <f>'Part VIII Scoring Criteria'!G317</f>
        <v>Atlanta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4929</v>
      </c>
      <c r="D1468" s="2464"/>
      <c r="E1468" s="2464"/>
      <c r="F1468" s="1998"/>
      <c r="G1468" s="1998"/>
      <c r="H1468" s="1998"/>
      <c r="I1468" s="1998"/>
      <c r="J1468" s="1998"/>
      <c r="K1468" s="1998"/>
      <c r="L1468" s="1998" t="s">
        <v>4931</v>
      </c>
      <c r="M1468" s="1998"/>
      <c r="N1468" s="1998"/>
      <c r="O1468" s="1998" t="s">
        <v>4932</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4930</v>
      </c>
      <c r="D1469" s="2464"/>
      <c r="E1469" s="2464"/>
      <c r="F1469" s="1998" t="s">
        <v>4119</v>
      </c>
      <c r="G1469" s="1998"/>
      <c r="H1469" s="1998"/>
      <c r="I1469" s="1998" t="s">
        <v>574</v>
      </c>
      <c r="J1469" s="1998"/>
      <c r="K1469" s="2012" t="s">
        <v>4740</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5110</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This section is NA as this is an Atlanta Metro site which does not apply to this section.</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3288</v>
      </c>
      <c r="B1480" s="2848" t="s">
        <v>3905</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4922</v>
      </c>
      <c r="C1481" s="2028"/>
      <c r="D1481" s="2028"/>
      <c r="E1481" s="2028"/>
      <c r="F1481" s="2028"/>
      <c r="G1481" s="2844" t="s">
        <v>3069</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3688</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3289</v>
      </c>
      <c r="B1488" s="2464" t="s">
        <v>2463</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2989</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3829</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3830</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5110</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This section is NA as we are not applying under the Historic Preservation section.</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3290</v>
      </c>
      <c r="B1499" s="2464" t="s">
        <v>4478</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4479</v>
      </c>
      <c r="C1500" s="2028"/>
      <c r="D1500" s="2035"/>
      <c r="E1500" s="2843" t="s">
        <v>4490</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4480</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5110</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We commit to accepting resident services coordination from an entity certified as a "3rd Party Resident Services Coordination Contractor" by CORES or other DCA-approved program.</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3291</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3070</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5110</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This section is NA.</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3292</v>
      </c>
      <c r="B1517" s="2464" t="s">
        <v>4848</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4032</v>
      </c>
      <c r="C1519" s="1998"/>
      <c r="D1519" s="2464"/>
      <c r="E1519" s="2464"/>
      <c r="F1519" s="1998"/>
      <c r="G1519" s="1998"/>
      <c r="H1519" s="1998"/>
      <c r="I1519" s="1998"/>
      <c r="J1519" s="1998"/>
      <c r="K1519" s="1998"/>
      <c r="L1519" s="2842" t="s">
        <v>4892</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4734</v>
      </c>
      <c r="C1520" s="1998"/>
      <c r="D1520" s="2464"/>
      <c r="E1520" s="2464"/>
      <c r="F1520" s="2852" t="s">
        <v>4942</v>
      </c>
      <c r="G1520" s="1998"/>
      <c r="H1520" s="1998"/>
      <c r="I1520" s="1998"/>
      <c r="J1520" s="1998"/>
      <c r="K1520" s="2813" t="str">
        <f>IF(OR($O1520=$M1520,$O1520=0,$O1520=""),"","*CHECK!*")</f>
        <v/>
      </c>
      <c r="L1520" s="2842" t="s">
        <v>4892</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4706</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4034</v>
      </c>
      <c r="C1522" s="2034"/>
      <c r="D1522" s="2034"/>
      <c r="E1522" s="2034"/>
      <c r="F1522" s="2034"/>
      <c r="G1522" s="2034"/>
      <c r="H1522" s="2034"/>
      <c r="I1522" s="2034"/>
      <c r="J1522" s="1998"/>
      <c r="K1522" s="1998"/>
      <c r="L1522" s="2842" t="s">
        <v>4892</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4033</v>
      </c>
      <c r="C1523" s="2028"/>
      <c r="D1523" s="2028"/>
      <c r="E1523" s="2036"/>
      <c r="F1523" s="1998"/>
      <c r="G1523" s="1998"/>
      <c r="H1523" s="1998"/>
      <c r="I1523" s="2028"/>
      <c r="J1523" s="2028"/>
      <c r="K1523" s="2012"/>
      <c r="L1523" s="2842" t="s">
        <v>4892</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4849</v>
      </c>
      <c r="C1524" s="1998"/>
      <c r="D1524" s="2464"/>
      <c r="E1524" s="1998"/>
      <c r="F1524" s="2852" t="s">
        <v>4936</v>
      </c>
      <c r="G1524" s="1998"/>
      <c r="H1524" s="1998"/>
      <c r="I1524" s="1998"/>
      <c r="J1524" s="1998"/>
      <c r="K1524" s="2868" t="str">
        <f>IF(AND($O1524&gt;0,NOT($F$12="Preservation")),"Ineligible, not Preservation!","")</f>
        <v/>
      </c>
      <c r="L1524" s="2842" t="s">
        <v>4892</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4992</v>
      </c>
      <c r="D1525" s="2464"/>
      <c r="E1525" s="2464"/>
      <c r="F1525" s="1998"/>
      <c r="G1525" s="1998"/>
      <c r="H1525" s="1998"/>
      <c r="I1525" s="1998"/>
      <c r="J1525" s="2468" t="s">
        <v>2881</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3306</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3908</v>
      </c>
      <c r="E1527" s="2464"/>
      <c r="F1527" s="1998"/>
      <c r="G1527" s="1998"/>
      <c r="H1527" s="1998"/>
      <c r="I1527" s="1998"/>
      <c r="J1527" s="2897">
        <f>'Part VIII Scoring Criteria'!J378</f>
        <v>4.5</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3251</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4993</v>
      </c>
      <c r="D1529" s="1998"/>
      <c r="E1529" s="1998"/>
      <c r="F1529" s="2852"/>
      <c r="G1529" s="1998"/>
      <c r="H1529" s="1998"/>
      <c r="I1529" s="2861" t="s">
        <v>4994</v>
      </c>
      <c r="J1529" s="2897">
        <f>'Part VIII Scoring Criteria'!J380</f>
        <v>8</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3307</v>
      </c>
      <c r="E1530" s="1998"/>
      <c r="F1530" s="2852"/>
      <c r="G1530" s="1998"/>
      <c r="H1530" s="1998"/>
      <c r="I1530" s="1998"/>
      <c r="J1530" s="2897">
        <f>'Part VIII Scoring Criteria'!J381</f>
        <v>8</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3909</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3178</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4850</v>
      </c>
      <c r="C1533" s="1998"/>
      <c r="D1533" s="2464"/>
      <c r="E1533" s="1998"/>
      <c r="F1533" s="1998"/>
      <c r="G1533" s="2811"/>
      <c r="H1533" s="1998"/>
      <c r="I1533" s="1998"/>
      <c r="J1533" s="1998"/>
      <c r="K1533" s="2813" t="str">
        <f>IF(OR($O1533&lt;=$M1533,$O1533=0,$O1533=""),"","*CHECK!*")</f>
        <v/>
      </c>
      <c r="L1533" s="2466" t="s">
        <v>4892</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4923</v>
      </c>
      <c r="D1534" s="1998"/>
      <c r="E1534" s="1998"/>
      <c r="F1534" s="1998"/>
      <c r="G1534" s="1998"/>
      <c r="H1534" s="2904" t="s">
        <v>4935</v>
      </c>
      <c r="I1534" s="2468"/>
      <c r="J1534" s="2851">
        <f>'Part VIII Scoring Criteria'!J385</f>
        <v>0</v>
      </c>
      <c r="K1534" s="2031"/>
      <c r="L1534" s="2842" t="s">
        <v>4892</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4924</v>
      </c>
      <c r="D1535" s="2034"/>
      <c r="E1535" s="2034"/>
      <c r="F1535" s="1998"/>
      <c r="G1535" s="1998"/>
      <c r="H1535" s="2852" t="s">
        <v>4934</v>
      </c>
      <c r="I1535" s="2034"/>
      <c r="J1535" s="2033">
        <f>'Part VIII Scoring Criteria'!J386</f>
        <v>0</v>
      </c>
      <c r="K1535" s="2034"/>
      <c r="L1535" s="2842" t="s">
        <v>4892</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4735</v>
      </c>
      <c r="D1536" s="2028"/>
      <c r="E1536" s="2028"/>
      <c r="F1536" s="2852" t="s">
        <v>4925</v>
      </c>
      <c r="G1536" s="2028"/>
      <c r="H1536" s="2028"/>
      <c r="I1536" s="2028"/>
      <c r="J1536" s="2028"/>
      <c r="K1536" s="2012" t="str">
        <f>IF(OR($O1536="",$O$12="4%"),"","Ineligible!")</f>
        <v>Ineligible!</v>
      </c>
      <c r="L1536" s="2842" t="s">
        <v>4892</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4739</v>
      </c>
      <c r="E1537" s="1998"/>
      <c r="F1537" s="1998"/>
      <c r="G1537" s="1998" t="s">
        <v>4119</v>
      </c>
      <c r="H1537" s="1998"/>
      <c r="I1537" s="1998"/>
      <c r="J1537" s="1998" t="s">
        <v>574</v>
      </c>
      <c r="K1537" s="2028"/>
      <c r="L1537" s="2017" t="s">
        <v>4740</v>
      </c>
      <c r="M1537" s="2028" t="s">
        <v>4744</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3740</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4687</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4688</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4926</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4927</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4900</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4928</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4736</v>
      </c>
      <c r="D1548" s="2034"/>
      <c r="E1548" s="2034"/>
      <c r="F1548" s="2852" t="s">
        <v>4925</v>
      </c>
      <c r="G1548" s="2034"/>
      <c r="H1548" s="2852" t="s">
        <v>4933</v>
      </c>
      <c r="I1548" s="2034"/>
      <c r="J1548" s="2851">
        <f>'Part VIII Scoring Criteria'!J399</f>
        <v>0</v>
      </c>
      <c r="K1548" s="2012" t="str">
        <f>IF(OR($O1548="",$O$12="4%"),"","Ineligible!")</f>
        <v>Ineligible!</v>
      </c>
      <c r="L1548" s="2842" t="s">
        <v>4892</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5110</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This section is NA</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5124</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83.5</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5125</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t="str">
        <f>'Part VIII Scoring Criteria'!A411</f>
        <v>Strength of the application is the recognized need for affordable housing in downtown Atlanta.  The Invest Atlanta meeting held on May 16, 2024, approved to grant $1,000,000 from the Westside TAD Ascension Fund to the Lewis Crossing development. Partners for HOME has agreed to provide referrals for those impacted by homelessness.
We have included in the Competitive Application folder all the data requested to claim the Readiness to Proceed points.  In the Tab 08 Readiness to Proceed folder we have listed all Threshold items we are including in this section. In Tab 52 Additional Docs we have submitted the data in separate sub-folders for each of the Threshold items to facilitate the review of such documents.</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09" t="s">
        <v>2474</v>
      </c>
      <c r="B5" s="4009"/>
      <c r="C5" s="4009"/>
      <c r="D5" s="4009"/>
      <c r="E5" s="4009"/>
      <c r="F5" s="4009"/>
      <c r="G5" s="4009"/>
      <c r="H5" s="4009"/>
      <c r="I5" s="4009"/>
      <c r="J5" s="4009"/>
      <c r="K5" s="4009"/>
      <c r="L5" s="4009"/>
      <c r="M5" s="4009"/>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1" t="s">
        <v>4943</v>
      </c>
      <c r="B11" s="4011"/>
      <c r="C11" s="4011"/>
      <c r="D11" s="4011"/>
      <c r="E11" s="4011"/>
      <c r="F11" s="4011"/>
      <c r="G11" s="4011"/>
      <c r="H11" s="4011"/>
      <c r="I11" s="4011"/>
      <c r="J11" s="4011"/>
      <c r="K11" s="4011"/>
      <c r="L11" s="4011"/>
      <c r="M11" s="4011"/>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3105</v>
      </c>
      <c r="C13" s="4012"/>
      <c r="D13" s="4012"/>
      <c r="E13" s="4012"/>
      <c r="F13" s="4012"/>
      <c r="G13" s="4012"/>
      <c r="H13" s="4012"/>
      <c r="I13" s="4012"/>
      <c r="J13" s="4012"/>
      <c r="K13" s="4012"/>
      <c r="L13" s="4012"/>
      <c r="M13" s="4012"/>
      <c r="U13" s="796" t="s">
        <v>4167</v>
      </c>
    </row>
    <row r="14" spans="1:26" ht="47.25" customHeight="1">
      <c r="A14" s="802" t="s">
        <v>1612</v>
      </c>
      <c r="B14" s="4012" t="s">
        <v>3106</v>
      </c>
      <c r="C14" s="4012"/>
      <c r="D14" s="4012"/>
      <c r="E14" s="4012"/>
      <c r="F14" s="4012"/>
      <c r="G14" s="4012"/>
      <c r="H14" s="4012"/>
      <c r="I14" s="4012"/>
      <c r="J14" s="4012"/>
      <c r="K14" s="4012"/>
      <c r="L14" s="4012"/>
      <c r="M14" s="4012"/>
    </row>
    <row r="15" spans="1:26" ht="117" customHeight="1">
      <c r="A15" s="802" t="s">
        <v>1613</v>
      </c>
      <c r="B15" s="4012" t="s">
        <v>3107</v>
      </c>
      <c r="C15" s="4012"/>
      <c r="D15" s="4012"/>
      <c r="E15" s="4012"/>
      <c r="F15" s="4012"/>
      <c r="G15" s="4012"/>
      <c r="H15" s="4012"/>
      <c r="I15" s="4012"/>
      <c r="J15" s="4012"/>
      <c r="K15" s="4012"/>
      <c r="L15" s="4012"/>
      <c r="M15" s="4012"/>
    </row>
    <row r="16" spans="1:26" ht="147" customHeight="1">
      <c r="A16" s="802" t="s">
        <v>2176</v>
      </c>
      <c r="B16" s="4012" t="s">
        <v>2986</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2985</v>
      </c>
      <c r="C18" s="4012"/>
      <c r="D18" s="4012"/>
      <c r="E18" s="4012"/>
      <c r="F18" s="4012"/>
      <c r="G18" s="4012"/>
      <c r="H18" s="4012"/>
      <c r="I18" s="4012"/>
      <c r="J18" s="4012"/>
      <c r="K18" s="4012"/>
      <c r="L18" s="4012"/>
      <c r="M18" s="4012"/>
    </row>
    <row r="19" spans="1:13" ht="48.75" customHeight="1">
      <c r="A19" s="802" t="s">
        <v>93</v>
      </c>
      <c r="B19" s="4008" t="s">
        <v>3108</v>
      </c>
      <c r="C19" s="4008"/>
      <c r="D19" s="4008"/>
      <c r="E19" s="4008"/>
      <c r="F19" s="4008"/>
      <c r="G19" s="4008"/>
      <c r="H19" s="4008"/>
      <c r="I19" s="4008"/>
      <c r="J19" s="4008"/>
      <c r="K19" s="4008"/>
      <c r="L19" s="4008"/>
      <c r="M19" s="4008"/>
    </row>
    <row r="20" spans="1:13" ht="50.25" customHeight="1">
      <c r="A20" s="802" t="s">
        <v>480</v>
      </c>
      <c r="B20" s="4012" t="s">
        <v>2987</v>
      </c>
      <c r="C20" s="4012"/>
      <c r="D20" s="4012"/>
      <c r="E20" s="4012"/>
      <c r="F20" s="4012"/>
      <c r="G20" s="4012"/>
      <c r="H20" s="4012"/>
      <c r="I20" s="4012"/>
      <c r="J20" s="4012"/>
      <c r="K20" s="4012"/>
      <c r="L20" s="4012"/>
      <c r="M20" s="4012"/>
    </row>
    <row r="21" spans="1:13" ht="31.5" customHeight="1">
      <c r="A21" s="802" t="s">
        <v>481</v>
      </c>
      <c r="B21" s="4012" t="s">
        <v>3004</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3005</v>
      </c>
      <c r="C25" s="4012"/>
      <c r="D25" s="4012"/>
      <c r="E25" s="4012"/>
      <c r="F25" s="4012"/>
      <c r="G25" s="4012"/>
      <c r="H25" s="4012"/>
      <c r="I25" s="4012"/>
      <c r="J25" s="4012"/>
      <c r="K25" s="4012"/>
      <c r="L25" s="4012"/>
      <c r="M25" s="4012"/>
    </row>
    <row r="26" spans="1:13" ht="31.5" customHeight="1">
      <c r="A26" s="802" t="s">
        <v>1373</v>
      </c>
      <c r="B26" s="4012" t="s">
        <v>3006</v>
      </c>
      <c r="C26" s="4012"/>
      <c r="D26" s="4012"/>
      <c r="E26" s="4012"/>
      <c r="F26" s="4012"/>
      <c r="G26" s="4012"/>
      <c r="H26" s="4012"/>
      <c r="I26" s="4012"/>
      <c r="J26" s="4012"/>
      <c r="K26" s="4012"/>
      <c r="L26" s="4012"/>
      <c r="M26" s="4012"/>
    </row>
    <row r="27" spans="1:13" ht="78.75" customHeight="1">
      <c r="A27" s="802" t="s">
        <v>1373</v>
      </c>
      <c r="B27" s="4012" t="s">
        <v>2475</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2476</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ht="16.5">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ht="16.5">
      <c r="A35" s="4013"/>
      <c r="B35" s="4013"/>
      <c r="C35" s="4013"/>
      <c r="D35" s="4013"/>
      <c r="E35" s="4013"/>
      <c r="F35" s="4013"/>
      <c r="G35" s="800"/>
      <c r="H35" s="4013"/>
      <c r="I35" s="4013"/>
      <c r="J35" s="4013"/>
      <c r="K35" s="4013"/>
      <c r="L35" s="4013"/>
      <c r="M35" s="4013"/>
    </row>
    <row r="36" spans="1:13" ht="12" customHeight="1">
      <c r="A36" s="4014" t="s">
        <v>864</v>
      </c>
      <c r="B36" s="4014"/>
      <c r="C36" s="4014"/>
      <c r="D36" s="4014"/>
      <c r="E36" s="4014"/>
      <c r="F36" s="4014"/>
      <c r="G36" s="800"/>
      <c r="H36" s="4014" t="s">
        <v>1834</v>
      </c>
      <c r="I36" s="4014"/>
      <c r="J36" s="4014"/>
      <c r="K36" s="4014"/>
      <c r="L36" s="4014"/>
      <c r="M36" s="4014"/>
    </row>
    <row r="37" spans="1:13" ht="6" customHeight="1">
      <c r="A37" s="800"/>
      <c r="B37" s="800"/>
      <c r="C37" s="800"/>
      <c r="D37" s="800"/>
      <c r="E37" s="800"/>
      <c r="F37" s="800"/>
      <c r="G37" s="800"/>
      <c r="H37" s="800"/>
      <c r="I37" s="800"/>
      <c r="J37" s="800"/>
      <c r="K37" s="800"/>
      <c r="L37" s="800"/>
      <c r="M37" s="800"/>
    </row>
    <row r="38" spans="1:13" ht="16.5">
      <c r="A38" s="4015"/>
      <c r="B38" s="4015"/>
      <c r="C38" s="4015"/>
      <c r="D38" s="4015"/>
      <c r="E38" s="4015"/>
      <c r="F38" s="4015"/>
      <c r="G38" s="800"/>
      <c r="H38" s="4016"/>
      <c r="I38" s="4016"/>
      <c r="J38" s="4016"/>
      <c r="K38" s="4016"/>
      <c r="L38" s="4016"/>
      <c r="M38" s="4016"/>
    </row>
    <row r="39" spans="1:13" ht="12" customHeight="1">
      <c r="A39" s="4014" t="s">
        <v>865</v>
      </c>
      <c r="B39" s="4014"/>
      <c r="C39" s="4014"/>
      <c r="D39" s="4014"/>
      <c r="E39" s="4014"/>
      <c r="F39" s="4014"/>
      <c r="G39" s="800"/>
      <c r="H39" s="4014" t="s">
        <v>866</v>
      </c>
      <c r="I39" s="4014"/>
      <c r="J39" s="4014"/>
      <c r="K39" s="4014"/>
      <c r="L39" s="4014"/>
      <c r="M39" s="4014"/>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7" t="s">
        <v>867</v>
      </c>
      <c r="I41" s="4017"/>
      <c r="J41" s="4017"/>
      <c r="K41" s="4017"/>
      <c r="L41" s="4017"/>
      <c r="M41" s="4017"/>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77" t="str">
        <f>'Part I-Project Identification'!F26</f>
        <v>Lewis Crossing</v>
      </c>
      <c r="E3" s="4078"/>
      <c r="F3" s="4078"/>
      <c r="G3" s="4078"/>
      <c r="H3" s="4078"/>
      <c r="I3" s="4078"/>
      <c r="J3" s="4079" t="s">
        <v>4067</v>
      </c>
      <c r="K3" s="4080"/>
    </row>
    <row r="4" spans="1:11" ht="15" customHeight="1">
      <c r="A4" s="1269" t="s">
        <v>3839</v>
      </c>
      <c r="B4" s="1270"/>
      <c r="C4" s="1271"/>
      <c r="D4" s="4081"/>
      <c r="E4" s="4082"/>
      <c r="F4" s="4082"/>
      <c r="G4" s="4082"/>
      <c r="H4" s="4082"/>
      <c r="I4" s="4082"/>
      <c r="J4" s="4083" t="s">
        <v>3880</v>
      </c>
      <c r="K4" s="4084"/>
    </row>
    <row r="5" spans="1:11" ht="15" customHeight="1" thickBot="1">
      <c r="A5" s="1272" t="s">
        <v>3840</v>
      </c>
      <c r="B5" s="1273"/>
      <c r="C5" s="1274"/>
      <c r="D5" s="4087"/>
      <c r="E5" s="4088"/>
      <c r="F5" s="4088"/>
      <c r="G5" s="4088"/>
      <c r="H5" s="4088"/>
      <c r="I5" s="4088"/>
      <c r="J5" s="4085"/>
      <c r="K5" s="4086"/>
    </row>
    <row r="6" spans="1:11" ht="9" customHeight="1" thickBot="1">
      <c r="E6" s="1264"/>
    </row>
    <row r="7" spans="1:11">
      <c r="A7" s="4071" t="s">
        <v>3842</v>
      </c>
      <c r="B7" s="4072"/>
      <c r="C7" s="4072"/>
      <c r="D7" s="4072"/>
      <c r="E7" s="4072"/>
      <c r="F7" s="4072"/>
      <c r="G7" s="4072"/>
      <c r="H7" s="4072"/>
      <c r="I7" s="4072"/>
      <c r="J7" s="4072"/>
      <c r="K7" s="4073"/>
    </row>
    <row r="8" spans="1:11" ht="14.25" customHeight="1">
      <c r="A8" s="1270"/>
      <c r="B8" s="1270"/>
      <c r="C8" s="1482">
        <v>1</v>
      </c>
      <c r="D8" s="1289" t="s">
        <v>3843</v>
      </c>
      <c r="E8" s="1289"/>
      <c r="F8" s="1289"/>
      <c r="G8" s="1289"/>
      <c r="H8" s="1289"/>
      <c r="I8" s="1289"/>
      <c r="J8" s="4091"/>
      <c r="K8" s="4092"/>
    </row>
    <row r="9" spans="1:11" ht="7.15" customHeight="1">
      <c r="A9" s="4067"/>
      <c r="B9" s="4067"/>
      <c r="C9" s="4067"/>
      <c r="D9" s="4068"/>
      <c r="E9" s="4068"/>
      <c r="F9" s="4068"/>
      <c r="G9" s="4068"/>
      <c r="H9" s="4068"/>
      <c r="I9" s="4068"/>
      <c r="J9" s="4068"/>
      <c r="K9" s="1290"/>
    </row>
    <row r="10" spans="1:11">
      <c r="A10" s="4093" t="s">
        <v>3844</v>
      </c>
      <c r="B10" s="4094"/>
      <c r="C10" s="4094"/>
      <c r="D10" s="4094"/>
      <c r="E10" s="4094"/>
      <c r="F10" s="4094"/>
      <c r="G10" s="4094"/>
      <c r="H10" s="4094"/>
      <c r="I10" s="4094"/>
      <c r="J10" s="4094"/>
      <c r="K10" s="4095"/>
    </row>
    <row r="11" spans="1:11" ht="14.25" customHeight="1">
      <c r="A11" s="1270"/>
      <c r="B11" s="1270"/>
      <c r="C11" s="1482">
        <v>2</v>
      </c>
      <c r="D11" s="1289" t="s">
        <v>3845</v>
      </c>
      <c r="E11" s="1291"/>
      <c r="F11" s="1291"/>
      <c r="G11" s="1291"/>
      <c r="H11" s="1291"/>
      <c r="I11" s="1291"/>
      <c r="J11" s="4096"/>
      <c r="K11" s="4097"/>
    </row>
    <row r="12" spans="1:11" ht="7.15" customHeight="1">
      <c r="A12" s="4067"/>
      <c r="B12" s="4067"/>
      <c r="C12" s="4067"/>
      <c r="D12" s="4068"/>
      <c r="E12" s="4068"/>
      <c r="F12" s="4068"/>
      <c r="G12" s="4068"/>
      <c r="H12" s="4068"/>
      <c r="I12" s="4068"/>
      <c r="J12" s="4068"/>
      <c r="K12" s="1292"/>
    </row>
    <row r="13" spans="1:11">
      <c r="A13" s="4093" t="s">
        <v>3846</v>
      </c>
      <c r="B13" s="4094"/>
      <c r="C13" s="4094"/>
      <c r="D13" s="4094"/>
      <c r="E13" s="4094"/>
      <c r="F13" s="4094"/>
      <c r="G13" s="4094"/>
      <c r="H13" s="4094"/>
      <c r="I13" s="4094"/>
      <c r="J13" s="4094"/>
      <c r="K13" s="4095"/>
    </row>
    <row r="14" spans="1:11" ht="14.25" customHeight="1">
      <c r="A14" s="1270"/>
      <c r="B14" s="1270"/>
      <c r="C14" s="1483">
        <v>3</v>
      </c>
      <c r="D14" s="1293" t="s">
        <v>3847</v>
      </c>
      <c r="E14" s="1293"/>
      <c r="F14" s="1293"/>
      <c r="G14" s="1293"/>
      <c r="H14" s="1293"/>
      <c r="I14" s="1293"/>
      <c r="J14" s="4098"/>
      <c r="K14" s="4099"/>
    </row>
    <row r="15" spans="1:11" ht="14.25" customHeight="1">
      <c r="A15" s="1270"/>
      <c r="B15" s="1270"/>
      <c r="C15" s="1484">
        <v>4</v>
      </c>
      <c r="D15" s="1270" t="s">
        <v>3848</v>
      </c>
      <c r="E15" s="1270"/>
      <c r="F15" s="1270"/>
      <c r="G15" s="1270"/>
      <c r="H15" s="1270"/>
      <c r="I15" s="1270"/>
      <c r="J15" s="4063"/>
      <c r="K15" s="4064"/>
    </row>
    <row r="16" spans="1:11" ht="14.25" customHeight="1">
      <c r="A16" s="1270"/>
      <c r="B16" s="1270"/>
      <c r="C16" s="1484">
        <v>5</v>
      </c>
      <c r="D16" s="1270" t="s">
        <v>3849</v>
      </c>
      <c r="E16" s="1270"/>
      <c r="F16" s="1270"/>
      <c r="G16" s="1270"/>
      <c r="H16" s="1270"/>
      <c r="I16" s="1270"/>
      <c r="J16" s="4063"/>
      <c r="K16" s="4064"/>
    </row>
    <row r="17" spans="1:13" ht="14.25" customHeight="1">
      <c r="A17" s="1270"/>
      <c r="B17" s="1270"/>
      <c r="C17" s="1485">
        <v>6</v>
      </c>
      <c r="D17" s="1273" t="s">
        <v>3850</v>
      </c>
      <c r="E17" s="1273"/>
      <c r="F17" s="1273"/>
      <c r="G17" s="1273"/>
      <c r="H17" s="1273"/>
      <c r="I17" s="1273"/>
      <c r="J17" s="4065"/>
      <c r="K17" s="4066"/>
    </row>
    <row r="18" spans="1:13" ht="7.15" customHeight="1">
      <c r="A18" s="4067"/>
      <c r="B18" s="4067"/>
      <c r="C18" s="4067"/>
      <c r="D18" s="4068"/>
      <c r="E18" s="4068"/>
      <c r="F18" s="4068"/>
      <c r="G18" s="4068"/>
      <c r="H18" s="4068"/>
      <c r="I18" s="4068"/>
      <c r="J18" s="4068"/>
      <c r="K18" s="1292"/>
    </row>
    <row r="19" spans="1:13" ht="14.25" customHeight="1">
      <c r="A19" s="1270"/>
      <c r="B19" s="1270"/>
      <c r="C19" s="1483">
        <v>7</v>
      </c>
      <c r="D19" s="1293" t="s">
        <v>3851</v>
      </c>
      <c r="E19" s="1293"/>
      <c r="F19" s="1293"/>
      <c r="G19" s="1293"/>
      <c r="H19" s="1293"/>
      <c r="I19" s="1293"/>
      <c r="J19" s="4089" t="str">
        <f>IF(J17="No",J14-J15,IF(J17="Yes",J14-J15-J16,"Error"))</f>
        <v>Error</v>
      </c>
      <c r="K19" s="4090"/>
    </row>
    <row r="20" spans="1:13" ht="14.25" customHeight="1">
      <c r="A20" s="1270"/>
      <c r="B20" s="1270"/>
      <c r="C20" s="1485">
        <v>8</v>
      </c>
      <c r="D20" s="1273" t="s">
        <v>3852</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482">
        <v>9</v>
      </c>
      <c r="D22" s="1294" t="s">
        <v>3853</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3884</v>
      </c>
      <c r="B30" s="4055"/>
      <c r="C30" s="4055"/>
      <c r="D30" s="4055"/>
      <c r="E30" s="4055"/>
      <c r="F30" s="4055"/>
      <c r="G30" s="4055"/>
      <c r="H30" s="4055"/>
      <c r="I30" s="4055"/>
      <c r="J30" s="4055"/>
      <c r="K30" s="4056"/>
    </row>
    <row r="31" spans="1:13">
      <c r="B31" s="4057" t="s">
        <v>4067</v>
      </c>
      <c r="C31" s="4057"/>
      <c r="D31" s="4057"/>
      <c r="E31" s="4057"/>
      <c r="F31" s="4057"/>
      <c r="G31" s="4058" t="s">
        <v>3855</v>
      </c>
      <c r="H31" s="4059"/>
      <c r="I31" s="4059"/>
      <c r="J31" s="4059"/>
      <c r="K31" s="4060"/>
    </row>
    <row r="32" spans="1:13" ht="56.25" customHeight="1">
      <c r="A32" s="1288"/>
      <c r="B32" s="1306" t="s">
        <v>3883</v>
      </c>
      <c r="C32" s="1307" t="s">
        <v>3879</v>
      </c>
      <c r="D32" s="1307" t="s">
        <v>3878</v>
      </c>
      <c r="E32" s="4061" t="s">
        <v>3999</v>
      </c>
      <c r="F32" s="4062"/>
      <c r="G32" s="1308" t="s">
        <v>3856</v>
      </c>
      <c r="H32" s="1308" t="s">
        <v>3857</v>
      </c>
      <c r="J32" s="1308" t="s">
        <v>3858</v>
      </c>
      <c r="K32" s="1308" t="s">
        <v>3859</v>
      </c>
      <c r="L32" s="4047" t="s">
        <v>3860</v>
      </c>
      <c r="M32" s="4047"/>
    </row>
    <row r="33" spans="2:14" ht="12.75" customHeight="1">
      <c r="B33" s="1473"/>
      <c r="C33" s="1474"/>
      <c r="D33" s="1475"/>
      <c r="E33" s="4048"/>
      <c r="F33" s="4049"/>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76"/>
      <c r="C34" s="1477"/>
      <c r="D34" s="1478"/>
      <c r="E34" s="4043"/>
      <c r="F34" s="4044"/>
      <c r="G34" s="1328" t="e">
        <f t="shared" si="0"/>
        <v>#VALUE!</v>
      </c>
      <c r="H34" s="1329" t="e">
        <f t="shared" ref="H34:H51" si="3">ROUNDUP(G34,0)</f>
        <v>#VALUE!</v>
      </c>
      <c r="I34" s="1326"/>
      <c r="J34" s="1330" t="e">
        <f t="shared" si="1"/>
        <v>#VALUE!</v>
      </c>
      <c r="K34" s="1330" t="e">
        <f t="shared" si="2"/>
        <v>#VALUE!</v>
      </c>
      <c r="L34" s="4047"/>
      <c r="M34" s="4047"/>
    </row>
    <row r="35" spans="2:14" ht="12.75" customHeight="1">
      <c r="B35" s="1476"/>
      <c r="C35" s="1477"/>
      <c r="D35" s="1478"/>
      <c r="E35" s="4043"/>
      <c r="F35" s="4044"/>
      <c r="G35" s="1328" t="e">
        <f t="shared" si="0"/>
        <v>#VALUE!</v>
      </c>
      <c r="H35" s="1329" t="e">
        <f t="shared" si="3"/>
        <v>#VALUE!</v>
      </c>
      <c r="I35" s="1326"/>
      <c r="J35" s="1330" t="e">
        <f t="shared" si="1"/>
        <v>#VALUE!</v>
      </c>
      <c r="K35" s="1330" t="e">
        <f t="shared" si="2"/>
        <v>#VALUE!</v>
      </c>
      <c r="L35" s="4047"/>
      <c r="M35" s="4047"/>
    </row>
    <row r="36" spans="2:14" ht="12.75" customHeight="1">
      <c r="B36" s="1476"/>
      <c r="C36" s="1477"/>
      <c r="D36" s="1478"/>
      <c r="E36" s="4043"/>
      <c r="F36" s="4044"/>
      <c r="G36" s="1328" t="e">
        <f t="shared" si="0"/>
        <v>#VALUE!</v>
      </c>
      <c r="H36" s="1329" t="e">
        <f t="shared" si="3"/>
        <v>#VALUE!</v>
      </c>
      <c r="I36" s="1326"/>
      <c r="J36" s="1330" t="e">
        <f t="shared" si="1"/>
        <v>#VALUE!</v>
      </c>
      <c r="K36" s="1330" t="e">
        <f t="shared" si="2"/>
        <v>#VALUE!</v>
      </c>
      <c r="L36" s="4047"/>
      <c r="M36" s="4047"/>
      <c r="N36" s="1283"/>
    </row>
    <row r="37" spans="2:14" ht="12.75" customHeight="1">
      <c r="B37" s="1476"/>
      <c r="C37" s="1477"/>
      <c r="D37" s="1478"/>
      <c r="E37" s="4043"/>
      <c r="F37" s="4044"/>
      <c r="G37" s="1328" t="e">
        <f t="shared" si="0"/>
        <v>#VALUE!</v>
      </c>
      <c r="H37" s="1329" t="e">
        <f t="shared" si="3"/>
        <v>#VALUE!</v>
      </c>
      <c r="I37" s="1326"/>
      <c r="J37" s="1330" t="e">
        <f t="shared" si="1"/>
        <v>#VALUE!</v>
      </c>
      <c r="K37" s="1330" t="e">
        <f t="shared" si="2"/>
        <v>#VALUE!</v>
      </c>
      <c r="L37" s="4047"/>
      <c r="M37" s="4047"/>
    </row>
    <row r="38" spans="2:14" ht="12.75" customHeight="1">
      <c r="B38" s="1476"/>
      <c r="C38" s="1477"/>
      <c r="D38" s="1478"/>
      <c r="E38" s="4043"/>
      <c r="F38" s="4044"/>
      <c r="G38" s="1328" t="e">
        <f t="shared" si="0"/>
        <v>#VALUE!</v>
      </c>
      <c r="H38" s="1329" t="e">
        <f t="shared" si="3"/>
        <v>#VALUE!</v>
      </c>
      <c r="I38" s="1326"/>
      <c r="J38" s="1330" t="e">
        <f t="shared" si="1"/>
        <v>#VALUE!</v>
      </c>
      <c r="K38" s="1330" t="e">
        <f t="shared" si="2"/>
        <v>#VALUE!</v>
      </c>
      <c r="L38" s="4047"/>
      <c r="M38" s="4047"/>
    </row>
    <row r="39" spans="2:14" ht="12.75" customHeight="1">
      <c r="B39" s="1476"/>
      <c r="C39" s="1477"/>
      <c r="D39" s="1478"/>
      <c r="E39" s="4043"/>
      <c r="F39" s="4044"/>
      <c r="G39" s="1328" t="e">
        <f t="shared" si="0"/>
        <v>#VALUE!</v>
      </c>
      <c r="H39" s="1329" t="e">
        <f t="shared" si="3"/>
        <v>#VALUE!</v>
      </c>
      <c r="I39" s="1326"/>
      <c r="J39" s="1330" t="e">
        <f t="shared" si="1"/>
        <v>#VALUE!</v>
      </c>
      <c r="K39" s="1330" t="e">
        <f t="shared" si="2"/>
        <v>#VALUE!</v>
      </c>
      <c r="L39" s="4047"/>
      <c r="M39" s="4047"/>
    </row>
    <row r="40" spans="2:14" ht="12.75" customHeight="1">
      <c r="B40" s="1476"/>
      <c r="C40" s="1477"/>
      <c r="D40" s="1478"/>
      <c r="E40" s="4043"/>
      <c r="F40" s="4044"/>
      <c r="G40" s="1328" t="e">
        <f t="shared" si="0"/>
        <v>#VALUE!</v>
      </c>
      <c r="H40" s="1329" t="e">
        <f t="shared" si="3"/>
        <v>#VALUE!</v>
      </c>
      <c r="I40" s="1326"/>
      <c r="J40" s="1330" t="e">
        <f t="shared" si="1"/>
        <v>#VALUE!</v>
      </c>
      <c r="K40" s="1330" t="e">
        <f t="shared" si="2"/>
        <v>#VALUE!</v>
      </c>
      <c r="L40" s="4047"/>
      <c r="M40" s="4047"/>
    </row>
    <row r="41" spans="2:14" ht="12.75" customHeight="1">
      <c r="B41" s="1476"/>
      <c r="C41" s="1477"/>
      <c r="D41" s="1478"/>
      <c r="E41" s="4043"/>
      <c r="F41" s="4044"/>
      <c r="G41" s="1328" t="e">
        <f t="shared" si="0"/>
        <v>#VALUE!</v>
      </c>
      <c r="H41" s="1329" t="e">
        <f t="shared" si="3"/>
        <v>#VALUE!</v>
      </c>
      <c r="I41" s="1326"/>
      <c r="J41" s="1330" t="e">
        <f t="shared" si="1"/>
        <v>#VALUE!</v>
      </c>
      <c r="K41" s="1330" t="e">
        <f t="shared" si="2"/>
        <v>#VALUE!</v>
      </c>
      <c r="L41" s="4047"/>
      <c r="M41" s="4047"/>
    </row>
    <row r="42" spans="2:14" ht="12.75" customHeight="1">
      <c r="B42" s="1476"/>
      <c r="C42" s="1477"/>
      <c r="D42" s="1478"/>
      <c r="E42" s="4043"/>
      <c r="F42" s="4044"/>
      <c r="G42" s="1328" t="e">
        <f t="shared" si="0"/>
        <v>#VALUE!</v>
      </c>
      <c r="H42" s="1329" t="e">
        <f t="shared" si="3"/>
        <v>#VALUE!</v>
      </c>
      <c r="I42" s="1326"/>
      <c r="J42" s="1330" t="e">
        <f t="shared" si="1"/>
        <v>#VALUE!</v>
      </c>
      <c r="K42" s="1330" t="e">
        <f t="shared" si="2"/>
        <v>#VALUE!</v>
      </c>
      <c r="L42" s="4047"/>
      <c r="M42" s="4047"/>
    </row>
    <row r="43" spans="2:14" ht="12.75" customHeight="1">
      <c r="B43" s="1476"/>
      <c r="C43" s="1477"/>
      <c r="D43" s="1478"/>
      <c r="E43" s="4043"/>
      <c r="F43" s="4044"/>
      <c r="G43" s="1328" t="e">
        <f t="shared" si="0"/>
        <v>#VALUE!</v>
      </c>
      <c r="H43" s="1329" t="e">
        <f t="shared" si="3"/>
        <v>#VALUE!</v>
      </c>
      <c r="I43" s="1326"/>
      <c r="J43" s="1330" t="e">
        <f t="shared" si="1"/>
        <v>#VALUE!</v>
      </c>
      <c r="K43" s="1330" t="e">
        <f t="shared" si="2"/>
        <v>#VALUE!</v>
      </c>
      <c r="L43" s="4047"/>
      <c r="M43" s="4047"/>
    </row>
    <row r="44" spans="2:14" ht="12.75" customHeight="1">
      <c r="B44" s="1476"/>
      <c r="C44" s="1477"/>
      <c r="D44" s="1478"/>
      <c r="E44" s="4043"/>
      <c r="F44" s="4044"/>
      <c r="G44" s="1328" t="e">
        <f t="shared" si="0"/>
        <v>#VALUE!</v>
      </c>
      <c r="H44" s="1329" t="e">
        <f t="shared" si="3"/>
        <v>#VALUE!</v>
      </c>
      <c r="I44" s="1326"/>
      <c r="J44" s="1330" t="e">
        <f t="shared" si="1"/>
        <v>#VALUE!</v>
      </c>
      <c r="K44" s="1330" t="e">
        <f t="shared" si="2"/>
        <v>#VALUE!</v>
      </c>
      <c r="L44" s="4047"/>
      <c r="M44" s="4047"/>
    </row>
    <row r="45" spans="2:14" ht="12.75" customHeight="1">
      <c r="B45" s="1476"/>
      <c r="C45" s="1477"/>
      <c r="D45" s="1478"/>
      <c r="E45" s="4043"/>
      <c r="F45" s="4044"/>
      <c r="G45" s="1328" t="e">
        <f t="shared" si="0"/>
        <v>#VALUE!</v>
      </c>
      <c r="H45" s="1329" t="e">
        <f t="shared" si="3"/>
        <v>#VALUE!</v>
      </c>
      <c r="I45" s="1326"/>
      <c r="J45" s="1330" t="e">
        <f t="shared" si="1"/>
        <v>#VALUE!</v>
      </c>
      <c r="K45" s="1330" t="e">
        <f t="shared" si="2"/>
        <v>#VALUE!</v>
      </c>
      <c r="L45" s="4047"/>
      <c r="M45" s="4047"/>
    </row>
    <row r="46" spans="2:14" ht="12.75" customHeight="1">
      <c r="B46" s="1476"/>
      <c r="C46" s="1477"/>
      <c r="D46" s="1478"/>
      <c r="E46" s="4043"/>
      <c r="F46" s="4044"/>
      <c r="G46" s="1328" t="e">
        <f t="shared" si="0"/>
        <v>#VALUE!</v>
      </c>
      <c r="H46" s="1329" t="e">
        <f t="shared" si="3"/>
        <v>#VALUE!</v>
      </c>
      <c r="I46" s="1326"/>
      <c r="J46" s="1330" t="e">
        <f t="shared" si="1"/>
        <v>#VALUE!</v>
      </c>
      <c r="K46" s="1330" t="e">
        <f t="shared" si="2"/>
        <v>#VALUE!</v>
      </c>
      <c r="L46" s="4047"/>
      <c r="M46" s="4047"/>
    </row>
    <row r="47" spans="2:14" ht="12.75" customHeight="1">
      <c r="B47" s="1476"/>
      <c r="C47" s="1477"/>
      <c r="D47" s="1478"/>
      <c r="E47" s="4043"/>
      <c r="F47" s="4044"/>
      <c r="G47" s="1328" t="e">
        <f t="shared" si="0"/>
        <v>#VALUE!</v>
      </c>
      <c r="H47" s="1329" t="e">
        <f t="shared" si="3"/>
        <v>#VALUE!</v>
      </c>
      <c r="I47" s="1326"/>
      <c r="J47" s="1330" t="e">
        <f t="shared" si="1"/>
        <v>#VALUE!</v>
      </c>
      <c r="K47" s="1330" t="e">
        <f t="shared" si="2"/>
        <v>#VALUE!</v>
      </c>
      <c r="L47" s="4047"/>
      <c r="M47" s="4047"/>
    </row>
    <row r="48" spans="2:14" ht="12.75" customHeight="1">
      <c r="B48" s="1476"/>
      <c r="C48" s="1477"/>
      <c r="D48" s="1478"/>
      <c r="E48" s="4043"/>
      <c r="F48" s="4044"/>
      <c r="G48" s="1328" t="e">
        <f t="shared" si="0"/>
        <v>#VALUE!</v>
      </c>
      <c r="H48" s="1329" t="e">
        <f t="shared" si="3"/>
        <v>#VALUE!</v>
      </c>
      <c r="I48" s="1326"/>
      <c r="J48" s="1330" t="e">
        <f t="shared" si="1"/>
        <v>#VALUE!</v>
      </c>
      <c r="K48" s="1330" t="e">
        <f t="shared" si="2"/>
        <v>#VALUE!</v>
      </c>
      <c r="L48" s="4047"/>
      <c r="M48" s="4047"/>
    </row>
    <row r="49" spans="1:13" ht="12.75" customHeight="1">
      <c r="B49" s="1476"/>
      <c r="C49" s="1477"/>
      <c r="D49" s="1478"/>
      <c r="E49" s="4043"/>
      <c r="F49" s="4044"/>
      <c r="G49" s="1328" t="e">
        <f t="shared" si="0"/>
        <v>#VALUE!</v>
      </c>
      <c r="H49" s="1329" t="e">
        <f t="shared" si="3"/>
        <v>#VALUE!</v>
      </c>
      <c r="I49" s="1326"/>
      <c r="J49" s="1330" t="e">
        <f t="shared" si="1"/>
        <v>#VALUE!</v>
      </c>
      <c r="K49" s="1330" t="e">
        <f t="shared" si="2"/>
        <v>#VALUE!</v>
      </c>
      <c r="L49" s="4047"/>
      <c r="M49" s="4047"/>
    </row>
    <row r="50" spans="1:13" ht="12.75" customHeight="1">
      <c r="B50" s="1476"/>
      <c r="C50" s="1477"/>
      <c r="D50" s="1478"/>
      <c r="E50" s="4043"/>
      <c r="F50" s="4044"/>
      <c r="G50" s="1328" t="e">
        <f t="shared" si="0"/>
        <v>#VALUE!</v>
      </c>
      <c r="H50" s="1329" t="e">
        <f t="shared" si="3"/>
        <v>#VALUE!</v>
      </c>
      <c r="I50" s="1326"/>
      <c r="J50" s="1330" t="e">
        <f t="shared" si="1"/>
        <v>#VALUE!</v>
      </c>
      <c r="K50" s="1330" t="e">
        <f t="shared" si="2"/>
        <v>#VALUE!</v>
      </c>
      <c r="L50" s="4047"/>
      <c r="M50" s="4047"/>
    </row>
    <row r="51" spans="1:13" ht="12.75" customHeight="1" thickBot="1">
      <c r="B51" s="1479"/>
      <c r="C51" s="1480"/>
      <c r="D51" s="1481"/>
      <c r="E51" s="4045"/>
      <c r="F51" s="4046"/>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3861</v>
      </c>
      <c r="H52" s="1309" t="e">
        <f>SUM(H33:H51)</f>
        <v>#VALUE!</v>
      </c>
      <c r="I52" s="1293"/>
      <c r="J52" s="1299" t="s">
        <v>3862</v>
      </c>
      <c r="K52" s="1295" t="e">
        <f>SUM(K33:K51)</f>
        <v>#VALUE!</v>
      </c>
      <c r="L52" s="4047"/>
      <c r="M52" s="4047"/>
    </row>
    <row r="53" spans="1:13" ht="15" customHeight="1">
      <c r="B53" s="1300"/>
      <c r="C53" s="4050" t="s">
        <v>3863</v>
      </c>
      <c r="D53" s="4050"/>
      <c r="E53" s="4050"/>
      <c r="F53" s="4050"/>
      <c r="G53" s="4050"/>
      <c r="H53" s="4050"/>
      <c r="I53" s="4050"/>
      <c r="J53" s="4051"/>
      <c r="K53" s="1301" t="str">
        <f>IF(J17="no",0,IF(J17="yes",J16,"Error"))</f>
        <v>Error</v>
      </c>
      <c r="L53" s="4047"/>
      <c r="M53" s="4047"/>
    </row>
    <row r="54" spans="1:13" ht="15" customHeight="1" thickBot="1">
      <c r="B54" s="1300"/>
      <c r="C54" s="4031" t="s">
        <v>3864</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3865</v>
      </c>
      <c r="B56" s="4029"/>
      <c r="C56" s="4029"/>
      <c r="D56" s="4029"/>
      <c r="E56" s="4029"/>
      <c r="F56" s="4029"/>
      <c r="G56" s="4029"/>
      <c r="H56" s="4029"/>
      <c r="I56" s="4029"/>
      <c r="J56" s="4029"/>
      <c r="K56" s="4030"/>
    </row>
    <row r="57" spans="1:13" ht="48" customHeight="1">
      <c r="A57" s="1285"/>
      <c r="B57" s="1276"/>
      <c r="C57" s="1287" t="s">
        <v>3866</v>
      </c>
      <c r="D57" s="1398" t="s">
        <v>3964</v>
      </c>
      <c r="E57" s="4034" t="s">
        <v>3882</v>
      </c>
      <c r="F57" s="4035"/>
      <c r="G57" s="4036" t="s">
        <v>3867</v>
      </c>
      <c r="H57" s="4037"/>
      <c r="I57" s="4034" t="s">
        <v>3881</v>
      </c>
      <c r="J57" s="4035"/>
      <c r="K57" s="4038"/>
      <c r="L57" s="4074" t="s">
        <v>5022</v>
      </c>
      <c r="M57" s="4075"/>
    </row>
    <row r="58" spans="1:13" ht="15" customHeight="1">
      <c r="A58" s="1388"/>
      <c r="B58" s="1318"/>
      <c r="C58" s="1296">
        <f>SUMIF(C33:C51, "0", H33:H51)</f>
        <v>0</v>
      </c>
      <c r="D58" s="1399">
        <f t="shared" ref="D58:D63" si="4">ROUNDUP(C58*1.1,0)</f>
        <v>0</v>
      </c>
      <c r="E58" s="4040" t="s">
        <v>3868</v>
      </c>
      <c r="F58" s="4041"/>
      <c r="G58" s="4021" t="e">
        <f>#REF!</f>
        <v>#REF!</v>
      </c>
      <c r="H58" s="4022"/>
      <c r="I58" s="4042" t="e">
        <f t="shared" ref="I58:I63" si="5">D58*G58</f>
        <v>#REF!</v>
      </c>
      <c r="J58" s="4042"/>
      <c r="K58" s="4039"/>
      <c r="L58" s="4076"/>
      <c r="M58" s="4075"/>
    </row>
    <row r="59" spans="1:13">
      <c r="A59" s="1388"/>
      <c r="B59" s="1318"/>
      <c r="C59" s="1297">
        <f>SUMIF(C33:C51, "1", H33:H51)</f>
        <v>0</v>
      </c>
      <c r="D59" s="1400">
        <f t="shared" si="4"/>
        <v>0</v>
      </c>
      <c r="E59" s="4019" t="s">
        <v>2456</v>
      </c>
      <c r="F59" s="4020"/>
      <c r="G59" s="4021" t="e">
        <f>#REF!</f>
        <v>#REF!</v>
      </c>
      <c r="H59" s="4022"/>
      <c r="I59" s="4023" t="e">
        <f t="shared" si="5"/>
        <v>#REF!</v>
      </c>
      <c r="J59" s="4023"/>
      <c r="K59" s="4039"/>
      <c r="L59" s="4076"/>
      <c r="M59" s="4075"/>
    </row>
    <row r="60" spans="1:13" ht="15" customHeight="1">
      <c r="A60" s="1388"/>
      <c r="B60" s="1318"/>
      <c r="C60" s="1297">
        <f>SUMIF(C33:C51, "2", H33:H51)</f>
        <v>0</v>
      </c>
      <c r="D60" s="1400">
        <f t="shared" si="4"/>
        <v>0</v>
      </c>
      <c r="E60" s="4019" t="s">
        <v>2457</v>
      </c>
      <c r="F60" s="4020"/>
      <c r="G60" s="4021" t="e">
        <f>#REF!</f>
        <v>#REF!</v>
      </c>
      <c r="H60" s="4022"/>
      <c r="I60" s="4023" t="e">
        <f t="shared" si="5"/>
        <v>#REF!</v>
      </c>
      <c r="J60" s="4023"/>
      <c r="K60" s="4039"/>
      <c r="L60" s="4076"/>
      <c r="M60" s="4075"/>
    </row>
    <row r="61" spans="1:13">
      <c r="A61" s="1388"/>
      <c r="B61" s="1318"/>
      <c r="C61" s="1297">
        <f>SUMIF(C33:C51, "3", H33:H51)</f>
        <v>0</v>
      </c>
      <c r="D61" s="1400">
        <f t="shared" si="4"/>
        <v>0</v>
      </c>
      <c r="E61" s="4019" t="s">
        <v>2460</v>
      </c>
      <c r="F61" s="4020"/>
      <c r="G61" s="4021" t="e">
        <f>#REF!</f>
        <v>#REF!</v>
      </c>
      <c r="H61" s="4022"/>
      <c r="I61" s="4023" t="e">
        <f t="shared" si="5"/>
        <v>#REF!</v>
      </c>
      <c r="J61" s="4023"/>
      <c r="K61" s="4039"/>
      <c r="L61" s="4076"/>
      <c r="M61" s="4075"/>
    </row>
    <row r="62" spans="1:13">
      <c r="A62" s="1388"/>
      <c r="B62" s="1318"/>
      <c r="C62" s="1297">
        <f>SUMIF(C33:C51, "4", H33:H51)</f>
        <v>0</v>
      </c>
      <c r="D62" s="1400">
        <f t="shared" si="4"/>
        <v>0</v>
      </c>
      <c r="E62" s="4019" t="s">
        <v>3869</v>
      </c>
      <c r="F62" s="4020"/>
      <c r="G62" s="4021" t="e">
        <f>#REF!</f>
        <v>#REF!</v>
      </c>
      <c r="H62" s="4022"/>
      <c r="I62" s="4023" t="e">
        <f t="shared" si="5"/>
        <v>#REF!</v>
      </c>
      <c r="J62" s="4023"/>
      <c r="K62" s="4039"/>
      <c r="L62" s="4076"/>
      <c r="M62" s="4075"/>
    </row>
    <row r="63" spans="1:13">
      <c r="A63" s="1397"/>
      <c r="B63" s="1319"/>
      <c r="C63" s="1298">
        <f>SUMIF(C33:C51, "5", H33:H51)</f>
        <v>0</v>
      </c>
      <c r="D63" s="1401">
        <f t="shared" si="4"/>
        <v>0</v>
      </c>
      <c r="E63" s="4024" t="s">
        <v>3870</v>
      </c>
      <c r="F63" s="4025"/>
      <c r="G63" s="4021" t="e">
        <f>#REF!</f>
        <v>#REF!</v>
      </c>
      <c r="H63" s="4022"/>
      <c r="I63" s="4026" t="e">
        <f t="shared" si="5"/>
        <v>#REF!</v>
      </c>
      <c r="J63" s="4026"/>
      <c r="K63" s="1321"/>
      <c r="L63" s="4076"/>
      <c r="M63" s="4075"/>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27"/>
      <c r="B65" s="4027"/>
      <c r="C65" s="4027"/>
      <c r="D65" s="4027"/>
      <c r="E65" s="4027"/>
      <c r="F65" s="4027"/>
      <c r="G65" s="4027"/>
      <c r="H65" s="4027"/>
      <c r="I65" s="4027"/>
      <c r="J65" s="4027"/>
    </row>
    <row r="66" spans="1:11">
      <c r="A66" s="4028" t="s">
        <v>3873</v>
      </c>
      <c r="B66" s="4029"/>
      <c r="C66" s="4029"/>
      <c r="D66" s="4029"/>
      <c r="E66" s="4029"/>
      <c r="F66" s="4029"/>
      <c r="G66" s="4029"/>
      <c r="H66" s="4029"/>
      <c r="I66" s="4029"/>
      <c r="J66" s="4029"/>
      <c r="K66" s="4030"/>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18" t="s">
        <v>3877</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NX/+7aqNgMqeLxf3TkclyzffWxq841HMti1jYOa6citov33XXDAu6Qkjg8HOSco0RHKAp/ZdD9mMRIW+qmI1iQ==" saltValue="jSjAb7d7OgqbB5qbC0SgYg=="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21" t="e">
        <f>CONCATENATE("PART SEVEN - THRESHOLD CRITERIA","  -  ",#REF!," ",#REF!,", ",#REF!,", ",#REF!," County")</f>
        <v>#REF!</v>
      </c>
      <c r="B1" s="3222"/>
      <c r="C1" s="3222"/>
      <c r="D1" s="3222"/>
      <c r="E1" s="3222"/>
      <c r="F1" s="3222"/>
      <c r="G1" s="3222"/>
      <c r="H1" s="3222"/>
      <c r="I1" s="3222"/>
      <c r="J1" s="3222"/>
      <c r="K1" s="3222"/>
      <c r="L1" s="3222"/>
      <c r="M1" s="3222"/>
      <c r="N1" s="3222"/>
      <c r="O1" s="3222"/>
      <c r="P1" s="3222"/>
      <c r="Q1" s="3222"/>
      <c r="R1" s="1714"/>
      <c r="S1" s="1714"/>
    </row>
    <row r="2" spans="1:19" customFormat="1" ht="3" customHeight="1">
      <c r="R2" s="1714"/>
      <c r="S2" s="1714"/>
    </row>
    <row r="3" spans="1:19" ht="13.5" customHeight="1">
      <c r="A3" s="422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20"/>
      <c r="C3" s="4220"/>
      <c r="D3" s="4220"/>
      <c r="E3" s="4220"/>
      <c r="F3" s="4220"/>
      <c r="G3" s="4220"/>
      <c r="H3" s="422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20"/>
      <c r="J3" s="4220"/>
      <c r="K3" s="4220"/>
      <c r="L3" s="4220"/>
      <c r="M3" s="4220"/>
      <c r="N3" s="4220"/>
      <c r="P3" s="4230" t="s">
        <v>875</v>
      </c>
      <c r="Q3" s="4276" t="s">
        <v>4425</v>
      </c>
      <c r="R3" s="1714"/>
      <c r="S3" s="1714"/>
    </row>
    <row r="4" spans="1:19" ht="3" customHeight="1">
      <c r="A4" s="674"/>
      <c r="B4" s="4221"/>
      <c r="C4" s="4221"/>
      <c r="D4" s="4221"/>
      <c r="E4" s="674"/>
      <c r="F4" s="674"/>
      <c r="G4" s="674"/>
      <c r="H4" s="674"/>
      <c r="J4" s="489"/>
      <c r="K4" s="674"/>
      <c r="L4" s="674"/>
      <c r="M4" s="674"/>
      <c r="N4" s="674"/>
      <c r="P4" s="4231"/>
      <c r="Q4" s="4277"/>
      <c r="R4" s="1714"/>
      <c r="S4" s="1714"/>
    </row>
    <row r="5" spans="1:19">
      <c r="E5" s="4229" t="e">
        <f>#REF!</f>
        <v>#REF!</v>
      </c>
      <c r="F5" s="4229"/>
      <c r="G5" s="4229"/>
      <c r="H5" s="4229"/>
      <c r="I5" s="4229"/>
      <c r="J5" s="489"/>
      <c r="K5" s="1715"/>
      <c r="L5" s="1716" t="s">
        <v>4424</v>
      </c>
      <c r="M5" s="1717" t="e">
        <f>#REF!</f>
        <v>#REF!</v>
      </c>
      <c r="N5" s="1718"/>
      <c r="O5" s="1719"/>
      <c r="P5" s="4232"/>
      <c r="Q5" s="4278"/>
      <c r="R5" s="1516"/>
      <c r="S5" s="1516"/>
    </row>
    <row r="6" spans="1:19" ht="17.25" customHeight="1">
      <c r="A6" s="96" t="s">
        <v>4423</v>
      </c>
      <c r="I6" s="489"/>
      <c r="J6" s="489"/>
      <c r="K6" s="4227" t="s">
        <v>3197</v>
      </c>
      <c r="L6" s="4227"/>
      <c r="M6" s="4227"/>
      <c r="N6" s="4227"/>
      <c r="O6" s="4228"/>
      <c r="P6" s="4222"/>
      <c r="Q6" s="4223"/>
      <c r="R6" s="1516"/>
      <c r="S6" s="1516"/>
    </row>
    <row r="7" spans="1:19" ht="12.6" customHeight="1">
      <c r="A7" s="97" t="s">
        <v>2983</v>
      </c>
      <c r="H7" s="985"/>
      <c r="I7" s="1713"/>
      <c r="J7" s="1713"/>
      <c r="K7" s="985"/>
      <c r="L7" s="985"/>
      <c r="M7" s="674"/>
      <c r="N7" s="674"/>
    </row>
    <row r="8" spans="1:19" ht="23.25" customHeight="1">
      <c r="A8" s="4224" t="s">
        <v>1327</v>
      </c>
      <c r="B8" s="4225"/>
      <c r="C8" s="4225"/>
      <c r="D8" s="4225"/>
      <c r="E8" s="4225"/>
      <c r="F8" s="4225"/>
      <c r="G8" s="4225"/>
      <c r="H8" s="4225"/>
      <c r="I8" s="4225"/>
      <c r="J8" s="4225"/>
      <c r="K8" s="4225"/>
      <c r="L8" s="4225"/>
      <c r="M8" s="4225"/>
      <c r="N8" s="4225"/>
      <c r="O8" s="4225"/>
      <c r="P8" s="4225"/>
      <c r="Q8" s="4226"/>
      <c r="R8" s="2912" t="s">
        <v>1878</v>
      </c>
      <c r="S8" s="2908"/>
    </row>
    <row r="9" spans="1:19" ht="23.25" customHeight="1">
      <c r="A9" s="4206" t="s">
        <v>218</v>
      </c>
      <c r="B9" s="4207"/>
      <c r="C9" s="4207"/>
      <c r="D9" s="4207"/>
      <c r="E9" s="4207"/>
      <c r="F9" s="4207"/>
      <c r="G9" s="4207"/>
      <c r="H9" s="4207"/>
      <c r="I9" s="4207"/>
      <c r="J9" s="4207"/>
      <c r="K9" s="4207"/>
      <c r="L9" s="4207"/>
      <c r="M9" s="4207"/>
      <c r="N9" s="4207"/>
      <c r="O9" s="4207"/>
      <c r="P9" s="4207"/>
      <c r="Q9" s="4208"/>
      <c r="R9" s="2912"/>
      <c r="S9" s="2908"/>
    </row>
    <row r="10" spans="1:19" ht="23.25" customHeight="1">
      <c r="A10" s="4206" t="s">
        <v>1323</v>
      </c>
      <c r="B10" s="4207"/>
      <c r="C10" s="4207"/>
      <c r="D10" s="4207"/>
      <c r="E10" s="4207"/>
      <c r="F10" s="4207"/>
      <c r="G10" s="4207"/>
      <c r="H10" s="4207"/>
      <c r="I10" s="4207"/>
      <c r="J10" s="4207"/>
      <c r="K10" s="4207"/>
      <c r="L10" s="4207"/>
      <c r="M10" s="4207"/>
      <c r="N10" s="4207"/>
      <c r="O10" s="4207"/>
      <c r="P10" s="4207"/>
      <c r="Q10" s="4208"/>
      <c r="R10" s="2912"/>
      <c r="S10" s="2908"/>
    </row>
    <row r="11" spans="1:19" ht="23.25" customHeight="1">
      <c r="A11" s="4206" t="s">
        <v>1324</v>
      </c>
      <c r="B11" s="4207"/>
      <c r="C11" s="4207"/>
      <c r="D11" s="4207"/>
      <c r="E11" s="4207"/>
      <c r="F11" s="4207"/>
      <c r="G11" s="4207"/>
      <c r="H11" s="4207"/>
      <c r="I11" s="4207"/>
      <c r="J11" s="4207"/>
      <c r="K11" s="4207"/>
      <c r="L11" s="4207"/>
      <c r="M11" s="4207"/>
      <c r="N11" s="4207"/>
      <c r="O11" s="4207"/>
      <c r="P11" s="4207"/>
      <c r="Q11" s="4208"/>
      <c r="R11" s="2912"/>
      <c r="S11" s="2908"/>
    </row>
    <row r="12" spans="1:19" ht="23.25" customHeight="1">
      <c r="A12" s="4206" t="s">
        <v>1325</v>
      </c>
      <c r="B12" s="4207"/>
      <c r="C12" s="4207"/>
      <c r="D12" s="4207"/>
      <c r="E12" s="4207"/>
      <c r="F12" s="4207"/>
      <c r="G12" s="4207"/>
      <c r="H12" s="4207"/>
      <c r="I12" s="4207"/>
      <c r="J12" s="4207"/>
      <c r="K12" s="4207"/>
      <c r="L12" s="4207"/>
      <c r="M12" s="4207"/>
      <c r="N12" s="4207"/>
      <c r="O12" s="4207"/>
      <c r="P12" s="4207"/>
      <c r="Q12" s="4208"/>
      <c r="R12" s="873"/>
      <c r="S12" s="873"/>
    </row>
    <row r="13" spans="1:19" ht="23.25" customHeight="1">
      <c r="A13" s="4206" t="s">
        <v>1326</v>
      </c>
      <c r="B13" s="4207"/>
      <c r="C13" s="4207"/>
      <c r="D13" s="4207"/>
      <c r="E13" s="4207"/>
      <c r="F13" s="4207"/>
      <c r="G13" s="4207"/>
      <c r="H13" s="4207"/>
      <c r="I13" s="4207"/>
      <c r="J13" s="4207"/>
      <c r="K13" s="4207"/>
      <c r="L13" s="4207"/>
      <c r="M13" s="4207"/>
      <c r="N13" s="4207"/>
      <c r="O13" s="4207"/>
      <c r="P13" s="4207"/>
      <c r="Q13" s="4208"/>
      <c r="R13" s="873"/>
      <c r="S13" s="873"/>
    </row>
    <row r="14" spans="1:19" ht="23.25" customHeight="1">
      <c r="A14" s="4206" t="s">
        <v>1328</v>
      </c>
      <c r="B14" s="4207"/>
      <c r="C14" s="4207"/>
      <c r="D14" s="4207"/>
      <c r="E14" s="4207"/>
      <c r="F14" s="4207"/>
      <c r="G14" s="4207"/>
      <c r="H14" s="4207"/>
      <c r="I14" s="4207"/>
      <c r="J14" s="4207"/>
      <c r="K14" s="4207"/>
      <c r="L14" s="4207"/>
      <c r="M14" s="4207"/>
      <c r="N14" s="4207"/>
      <c r="O14" s="4207"/>
      <c r="P14" s="4207"/>
      <c r="Q14" s="4208"/>
    </row>
    <row r="15" spans="1:19" ht="11.25" customHeight="1">
      <c r="A15" s="4206" t="s">
        <v>1867</v>
      </c>
      <c r="B15" s="4207"/>
      <c r="C15" s="4207"/>
      <c r="D15" s="4207"/>
      <c r="E15" s="4207"/>
      <c r="F15" s="4207"/>
      <c r="G15" s="4207"/>
      <c r="H15" s="4207"/>
      <c r="I15" s="4207"/>
      <c r="J15" s="4207"/>
      <c r="K15" s="4207"/>
      <c r="L15" s="4207"/>
      <c r="M15" s="4207"/>
      <c r="N15" s="4207"/>
      <c r="O15" s="4207"/>
      <c r="P15" s="4207"/>
      <c r="Q15" s="4208"/>
      <c r="R15" s="2912"/>
      <c r="S15" s="2908"/>
    </row>
    <row r="16" spans="1:19" ht="11.25" customHeight="1">
      <c r="A16" s="4206" t="s">
        <v>1868</v>
      </c>
      <c r="B16" s="4207"/>
      <c r="C16" s="4207"/>
      <c r="D16" s="4207"/>
      <c r="E16" s="4207"/>
      <c r="F16" s="4207"/>
      <c r="G16" s="4207"/>
      <c r="H16" s="4207"/>
      <c r="I16" s="4207"/>
      <c r="J16" s="4207"/>
      <c r="K16" s="4207"/>
      <c r="L16" s="4207"/>
      <c r="M16" s="4207"/>
      <c r="N16" s="4207"/>
      <c r="O16" s="4207"/>
      <c r="P16" s="4207"/>
      <c r="Q16" s="4208"/>
      <c r="R16" s="2912"/>
      <c r="S16" s="2908"/>
    </row>
    <row r="17" spans="1:31" ht="11.25" customHeight="1">
      <c r="A17" s="4206" t="s">
        <v>1869</v>
      </c>
      <c r="B17" s="4207"/>
      <c r="C17" s="4207"/>
      <c r="D17" s="4207"/>
      <c r="E17" s="4207"/>
      <c r="F17" s="4207"/>
      <c r="G17" s="4207"/>
      <c r="H17" s="4207"/>
      <c r="I17" s="4207"/>
      <c r="J17" s="4207"/>
      <c r="K17" s="4207"/>
      <c r="L17" s="4207"/>
      <c r="M17" s="4207"/>
      <c r="N17" s="4207"/>
      <c r="O17" s="4207"/>
      <c r="P17" s="4207"/>
      <c r="Q17" s="4208"/>
      <c r="R17" s="2912"/>
      <c r="S17" s="2908"/>
    </row>
    <row r="18" spans="1:31" ht="11.25" customHeight="1">
      <c r="A18" s="4206" t="s">
        <v>1870</v>
      </c>
      <c r="B18" s="4207"/>
      <c r="C18" s="4207"/>
      <c r="D18" s="4207"/>
      <c r="E18" s="4207"/>
      <c r="F18" s="4207"/>
      <c r="G18" s="4207"/>
      <c r="H18" s="4207"/>
      <c r="I18" s="4207"/>
      <c r="J18" s="4207"/>
      <c r="K18" s="4207"/>
      <c r="L18" s="4207"/>
      <c r="M18" s="4207"/>
      <c r="N18" s="4207"/>
      <c r="O18" s="4207"/>
      <c r="P18" s="4207"/>
      <c r="Q18" s="4208"/>
      <c r="R18" s="2912"/>
      <c r="S18" s="2908"/>
    </row>
    <row r="19" spans="1:31" ht="11.25" customHeight="1">
      <c r="A19" s="4206" t="s">
        <v>1871</v>
      </c>
      <c r="B19" s="4207"/>
      <c r="C19" s="4207"/>
      <c r="D19" s="4207"/>
      <c r="E19" s="4207"/>
      <c r="F19" s="4207"/>
      <c r="G19" s="4207"/>
      <c r="H19" s="4207"/>
      <c r="I19" s="4207"/>
      <c r="J19" s="4207"/>
      <c r="K19" s="4207"/>
      <c r="L19" s="4207"/>
      <c r="M19" s="4207"/>
      <c r="N19" s="4207"/>
      <c r="O19" s="4207"/>
      <c r="P19" s="4207"/>
      <c r="Q19" s="4208"/>
      <c r="R19" s="2912"/>
      <c r="S19" s="2908"/>
    </row>
    <row r="20" spans="1:31" ht="11.25" customHeight="1">
      <c r="A20" s="4206" t="s">
        <v>1872</v>
      </c>
      <c r="B20" s="4207"/>
      <c r="C20" s="4207"/>
      <c r="D20" s="4207"/>
      <c r="E20" s="4207"/>
      <c r="F20" s="4207"/>
      <c r="G20" s="4207"/>
      <c r="H20" s="4207"/>
      <c r="I20" s="4207"/>
      <c r="J20" s="4207"/>
      <c r="K20" s="4207"/>
      <c r="L20" s="4207"/>
      <c r="M20" s="4207"/>
      <c r="N20" s="4207"/>
      <c r="O20" s="4207"/>
      <c r="P20" s="4207"/>
      <c r="Q20" s="4208"/>
      <c r="R20" s="2912"/>
      <c r="S20" s="2908"/>
    </row>
    <row r="21" spans="1:31" ht="11.25" customHeight="1">
      <c r="A21" s="4206" t="s">
        <v>1873</v>
      </c>
      <c r="B21" s="4207"/>
      <c r="C21" s="4207"/>
      <c r="D21" s="4207"/>
      <c r="E21" s="4207"/>
      <c r="F21" s="4207"/>
      <c r="G21" s="4207"/>
      <c r="H21" s="4207"/>
      <c r="I21" s="4207"/>
      <c r="J21" s="4207"/>
      <c r="K21" s="4207"/>
      <c r="L21" s="4207"/>
      <c r="M21" s="4207"/>
      <c r="N21" s="4207"/>
      <c r="O21" s="4207"/>
      <c r="P21" s="4207"/>
      <c r="Q21" s="4208"/>
    </row>
    <row r="22" spans="1:31" ht="11.25" customHeight="1">
      <c r="A22" s="4206" t="s">
        <v>1874</v>
      </c>
      <c r="B22" s="4207"/>
      <c r="C22" s="4207"/>
      <c r="D22" s="4207"/>
      <c r="E22" s="4207"/>
      <c r="F22" s="4207"/>
      <c r="G22" s="4207"/>
      <c r="H22" s="4207"/>
      <c r="I22" s="4207"/>
      <c r="J22" s="4207"/>
      <c r="K22" s="4207"/>
      <c r="L22" s="4207"/>
      <c r="M22" s="4207"/>
      <c r="N22" s="4207"/>
      <c r="O22" s="4207"/>
      <c r="P22" s="4207"/>
      <c r="Q22" s="4208"/>
      <c r="R22" s="2912"/>
      <c r="S22" s="2908"/>
    </row>
    <row r="23" spans="1:31" ht="11.25" customHeight="1">
      <c r="A23" s="4206" t="s">
        <v>1875</v>
      </c>
      <c r="B23" s="4207"/>
      <c r="C23" s="4207"/>
      <c r="D23" s="4207"/>
      <c r="E23" s="4207"/>
      <c r="F23" s="4207"/>
      <c r="G23" s="4207"/>
      <c r="H23" s="4207"/>
      <c r="I23" s="4207"/>
      <c r="J23" s="4207"/>
      <c r="K23" s="4207"/>
      <c r="L23" s="4207"/>
      <c r="M23" s="4207"/>
      <c r="N23" s="4207"/>
      <c r="O23" s="4207"/>
      <c r="P23" s="4207"/>
      <c r="Q23" s="4208"/>
      <c r="R23" s="2912"/>
      <c r="S23" s="2908"/>
    </row>
    <row r="24" spans="1:31" ht="11.25" customHeight="1">
      <c r="A24" s="4206" t="s">
        <v>1876</v>
      </c>
      <c r="B24" s="4207"/>
      <c r="C24" s="4207"/>
      <c r="D24" s="4207"/>
      <c r="E24" s="4207"/>
      <c r="F24" s="4207"/>
      <c r="G24" s="4207"/>
      <c r="H24" s="4207"/>
      <c r="I24" s="4207"/>
      <c r="J24" s="4207"/>
      <c r="K24" s="4207"/>
      <c r="L24" s="4207"/>
      <c r="M24" s="4207"/>
      <c r="N24" s="4207"/>
      <c r="O24" s="4207"/>
      <c r="P24" s="4207"/>
      <c r="Q24" s="4208"/>
      <c r="R24" s="2912"/>
      <c r="S24" s="2908"/>
    </row>
    <row r="25" spans="1:31" ht="11.25" customHeight="1">
      <c r="A25" s="4209" t="s">
        <v>1877</v>
      </c>
      <c r="B25" s="4210"/>
      <c r="C25" s="4210"/>
      <c r="D25" s="4210"/>
      <c r="E25" s="4210"/>
      <c r="F25" s="4210"/>
      <c r="G25" s="4210"/>
      <c r="H25" s="4210"/>
      <c r="I25" s="4210"/>
      <c r="J25" s="4210"/>
      <c r="K25" s="4210"/>
      <c r="L25" s="4210"/>
      <c r="M25" s="4210"/>
      <c r="N25" s="4210"/>
      <c r="O25" s="4210"/>
      <c r="P25" s="4210"/>
      <c r="Q25" s="4211"/>
      <c r="R25" s="2912"/>
      <c r="S25" s="2908"/>
    </row>
    <row r="26" spans="1:31" ht="6" customHeight="1"/>
    <row r="27" spans="1:31" ht="14.1" customHeight="1">
      <c r="A27" s="98" t="s">
        <v>688</v>
      </c>
      <c r="B27" s="99" t="s">
        <v>4527</v>
      </c>
      <c r="C27" s="100"/>
      <c r="D27" s="66"/>
      <c r="E27" s="66"/>
      <c r="F27" s="66"/>
      <c r="G27" s="66"/>
      <c r="I27" s="878"/>
      <c r="J27" s="878"/>
      <c r="K27" s="878"/>
      <c r="L27" s="674"/>
      <c r="M27" s="674"/>
      <c r="O27" s="101" t="s">
        <v>1726</v>
      </c>
      <c r="P27" s="4109"/>
      <c r="Q27" s="4110"/>
    </row>
    <row r="28" spans="1:31" ht="3" customHeight="1"/>
    <row r="29" spans="1:31" ht="11.25" customHeight="1">
      <c r="B29" s="42" t="s">
        <v>3156</v>
      </c>
      <c r="C29" s="42"/>
      <c r="D29" s="42"/>
      <c r="E29" s="42"/>
      <c r="F29" s="42"/>
      <c r="G29" s="878"/>
      <c r="H29" s="878"/>
      <c r="I29" s="878"/>
      <c r="J29" s="878"/>
      <c r="K29" s="674"/>
      <c r="L29" s="674"/>
      <c r="M29" s="674"/>
      <c r="N29" s="674"/>
      <c r="O29" s="674"/>
      <c r="P29" s="674"/>
      <c r="S29" s="125"/>
      <c r="T29" s="125"/>
    </row>
    <row r="30" spans="1:31" ht="108.75" customHeight="1">
      <c r="A30" s="4117"/>
      <c r="B30" s="4118"/>
      <c r="C30" s="4118"/>
      <c r="D30" s="4118"/>
      <c r="E30" s="4118"/>
      <c r="F30" s="4118"/>
      <c r="G30" s="4118"/>
      <c r="H30" s="4118"/>
      <c r="I30" s="4118"/>
      <c r="J30" s="4118"/>
      <c r="K30" s="4118"/>
      <c r="L30" s="4118"/>
      <c r="M30" s="4118"/>
      <c r="N30" s="4118"/>
      <c r="O30" s="4118"/>
      <c r="P30" s="4118"/>
      <c r="Q30" s="4119"/>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9"/>
      <c r="B32" s="4219"/>
      <c r="C32" s="4219"/>
      <c r="D32" s="4219"/>
      <c r="E32" s="4219"/>
      <c r="F32" s="4219"/>
      <c r="G32" s="4219"/>
      <c r="H32" s="4219"/>
      <c r="I32" s="4219"/>
      <c r="J32" s="4219"/>
      <c r="K32" s="4219"/>
      <c r="L32" s="4219"/>
      <c r="M32" s="4219"/>
      <c r="N32" s="4219"/>
      <c r="O32" s="4219"/>
      <c r="P32" s="4219"/>
      <c r="Q32" s="4219"/>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9"/>
      <c r="Q34" s="4110"/>
    </row>
    <row r="35" spans="1:31" ht="12.75" customHeight="1">
      <c r="A35" s="2"/>
      <c r="B35" s="108" t="s">
        <v>4535</v>
      </c>
      <c r="C35" s="4"/>
      <c r="D35" s="4"/>
      <c r="E35" s="874"/>
      <c r="F35" s="874"/>
      <c r="H35" s="874"/>
      <c r="J35" s="2966" t="s">
        <v>4361</v>
      </c>
      <c r="K35" s="2967"/>
      <c r="L35" s="2968"/>
      <c r="M35" s="147" t="s">
        <v>1642</v>
      </c>
      <c r="N35" s="4100"/>
      <c r="O35" s="4101"/>
      <c r="P35" s="4101"/>
      <c r="Q35" s="4102"/>
    </row>
    <row r="36" spans="1:31" ht="12.75" customHeight="1">
      <c r="A36" s="2"/>
      <c r="B36" s="108" t="s">
        <v>4534</v>
      </c>
      <c r="C36" s="4"/>
      <c r="D36" s="4"/>
      <c r="E36" s="874"/>
      <c r="F36" s="874"/>
      <c r="G36" s="1576"/>
      <c r="H36" s="874"/>
      <c r="J36" s="2966" t="s">
        <v>4362</v>
      </c>
      <c r="K36" s="2967"/>
      <c r="L36" s="2968"/>
      <c r="M36" s="147" t="s">
        <v>1642</v>
      </c>
      <c r="N36" s="4100"/>
      <c r="O36" s="4101"/>
      <c r="P36" s="4101"/>
      <c r="Q36" s="4102"/>
    </row>
    <row r="37" spans="1:31" ht="12.75" customHeight="1">
      <c r="B37" s="73" t="s">
        <v>3156</v>
      </c>
      <c r="D37" s="73"/>
      <c r="E37" s="73"/>
      <c r="F37" s="73"/>
      <c r="G37" s="73"/>
      <c r="H37" s="33"/>
      <c r="I37" s="878"/>
      <c r="J37" s="878"/>
      <c r="K37" s="1680" t="s">
        <v>1725</v>
      </c>
      <c r="L37" s="674"/>
      <c r="M37" s="674"/>
      <c r="N37" s="674"/>
      <c r="O37" s="674"/>
      <c r="P37" s="674"/>
      <c r="Q37" s="674"/>
    </row>
    <row r="38" spans="1:31" ht="10.5" customHeight="1">
      <c r="A38" s="4117"/>
      <c r="B38" s="4118"/>
      <c r="C38" s="4118"/>
      <c r="D38" s="4118"/>
      <c r="E38" s="4118"/>
      <c r="F38" s="4118"/>
      <c r="G38" s="4118"/>
      <c r="H38" s="4118"/>
      <c r="I38" s="4118"/>
      <c r="J38" s="4119"/>
      <c r="K38" s="4114"/>
      <c r="L38" s="4115"/>
      <c r="M38" s="4115"/>
      <c r="N38" s="4115"/>
      <c r="O38" s="4115"/>
      <c r="P38" s="4115"/>
      <c r="Q38" s="4116"/>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3664</v>
      </c>
      <c r="M40" s="1256" t="s">
        <v>3665</v>
      </c>
      <c r="O40" s="101" t="s">
        <v>1726</v>
      </c>
      <c r="P40" s="4109"/>
      <c r="Q40" s="4110"/>
    </row>
    <row r="41" spans="1:31" ht="1.5" customHeight="1"/>
    <row r="42" spans="1:31" ht="12" customHeight="1">
      <c r="A42" s="110" t="s">
        <v>1836</v>
      </c>
      <c r="B42" s="4103" t="s">
        <v>3659</v>
      </c>
      <c r="C42" s="4103"/>
      <c r="D42" s="4103"/>
      <c r="E42" s="4103"/>
      <c r="F42" s="4103"/>
      <c r="G42" s="4103"/>
      <c r="H42" s="4103"/>
      <c r="I42" s="4103"/>
      <c r="J42" s="4103"/>
      <c r="K42" s="115"/>
      <c r="L42" s="346" t="s">
        <v>2574</v>
      </c>
      <c r="M42" s="1144">
        <v>2</v>
      </c>
      <c r="N42" s="108" t="s">
        <v>3891</v>
      </c>
      <c r="P42" s="4255"/>
      <c r="Q42" s="4265"/>
    </row>
    <row r="43" spans="1:31" ht="12" customHeight="1">
      <c r="A43" s="110"/>
      <c r="B43" s="4103"/>
      <c r="C43" s="4103"/>
      <c r="D43" s="4103"/>
      <c r="E43" s="4103"/>
      <c r="F43" s="4103"/>
      <c r="G43" s="4103"/>
      <c r="H43" s="4103"/>
      <c r="I43" s="4103"/>
      <c r="J43" s="4103"/>
      <c r="K43" s="115"/>
      <c r="L43" s="346" t="s">
        <v>3663</v>
      </c>
      <c r="M43" s="1145">
        <v>4</v>
      </c>
      <c r="O43" s="111"/>
      <c r="P43" s="4256"/>
      <c r="Q43" s="4266"/>
    </row>
    <row r="44" spans="1:31" ht="12" customHeight="1">
      <c r="A44" s="110"/>
      <c r="D44" s="874"/>
      <c r="E44" s="874"/>
      <c r="F44" s="874"/>
      <c r="G44" s="874"/>
      <c r="H44" s="874"/>
      <c r="I44" s="874"/>
      <c r="J44" s="874"/>
      <c r="K44" s="115"/>
      <c r="L44" s="371" t="s">
        <v>4057</v>
      </c>
      <c r="M44" s="1145"/>
      <c r="O44" s="111"/>
      <c r="P44" s="1468"/>
      <c r="Q44" s="1469"/>
    </row>
    <row r="45" spans="1:31" ht="12" customHeight="1">
      <c r="A45" s="40" t="s">
        <v>1838</v>
      </c>
      <c r="B45" s="108" t="s">
        <v>3666</v>
      </c>
      <c r="C45" s="108"/>
      <c r="D45" s="108"/>
      <c r="E45" s="108"/>
      <c r="F45" s="108"/>
      <c r="G45" s="108"/>
      <c r="H45" s="108"/>
      <c r="I45" s="108"/>
      <c r="J45" s="108"/>
      <c r="K45" s="456"/>
      <c r="L45" s="108"/>
      <c r="M45" s="115"/>
      <c r="N45" s="704"/>
      <c r="O45" s="704"/>
      <c r="P45" s="704"/>
    </row>
    <row r="46" spans="1:31" ht="12.75" customHeight="1">
      <c r="A46" s="395"/>
      <c r="B46" s="1161" t="s">
        <v>1611</v>
      </c>
      <c r="C46" s="108" t="s">
        <v>3670</v>
      </c>
      <c r="D46" s="1116"/>
      <c r="E46" s="1116"/>
      <c r="F46" s="1116"/>
      <c r="G46" s="1116"/>
      <c r="H46" s="1116"/>
      <c r="I46" s="1116"/>
      <c r="J46" s="1116"/>
      <c r="K46" s="1115"/>
      <c r="L46" s="703"/>
      <c r="N46" s="108" t="s">
        <v>3892</v>
      </c>
      <c r="O46" s="704"/>
      <c r="P46" s="175"/>
      <c r="Q46" s="418"/>
    </row>
    <row r="47" spans="1:31" ht="12.75" customHeight="1">
      <c r="A47" s="395"/>
      <c r="B47" s="1161" t="s">
        <v>1612</v>
      </c>
      <c r="C47" s="108" t="s">
        <v>3667</v>
      </c>
      <c r="D47" s="1116"/>
      <c r="E47" s="1116"/>
      <c r="F47" s="1116"/>
      <c r="G47" s="1116"/>
      <c r="H47" s="1116"/>
      <c r="I47" s="1116"/>
      <c r="J47" s="1116"/>
      <c r="K47" s="1115"/>
      <c r="L47" s="703"/>
      <c r="N47" s="108" t="s">
        <v>3893</v>
      </c>
      <c r="O47" s="704"/>
      <c r="P47" s="299"/>
      <c r="Q47" s="419"/>
    </row>
    <row r="48" spans="1:31" ht="12.75" customHeight="1">
      <c r="A48" s="1114"/>
      <c r="B48" s="371" t="s">
        <v>1613</v>
      </c>
      <c r="C48" s="108" t="s">
        <v>3668</v>
      </c>
      <c r="E48" s="1116"/>
      <c r="F48" s="1116"/>
      <c r="G48" s="1116"/>
      <c r="H48" s="1116"/>
      <c r="I48" s="1116"/>
      <c r="J48" s="1116"/>
      <c r="K48" s="1115"/>
      <c r="L48" s="703"/>
      <c r="M48" s="704"/>
      <c r="N48" s="108" t="s">
        <v>3894</v>
      </c>
      <c r="O48" s="704"/>
      <c r="P48" s="299"/>
      <c r="Q48" s="419"/>
    </row>
    <row r="49" spans="1:31" ht="12.75" customHeight="1">
      <c r="A49" s="112"/>
      <c r="B49" s="371" t="s">
        <v>2176</v>
      </c>
      <c r="C49" s="371" t="s">
        <v>3671</v>
      </c>
      <c r="D49" s="103"/>
      <c r="E49" s="103"/>
      <c r="F49" s="103"/>
      <c r="G49" s="103"/>
      <c r="H49" s="103"/>
      <c r="I49" s="35"/>
      <c r="J49" s="35"/>
      <c r="N49" s="108" t="s">
        <v>3895</v>
      </c>
      <c r="O49" s="704"/>
      <c r="P49" s="176"/>
      <c r="Q49" s="420"/>
    </row>
    <row r="50" spans="1:31" ht="12.75" customHeight="1">
      <c r="A50" s="112"/>
      <c r="B50" s="371"/>
      <c r="C50" s="108" t="s">
        <v>3672</v>
      </c>
      <c r="D50" s="103"/>
      <c r="E50" s="103"/>
      <c r="F50" s="103"/>
      <c r="G50" s="103"/>
      <c r="H50" s="103"/>
      <c r="I50" s="35"/>
      <c r="J50" s="35"/>
      <c r="L50" s="4126"/>
      <c r="M50" s="4127"/>
      <c r="N50" s="4127"/>
      <c r="O50" s="4127"/>
      <c r="P50" s="4127"/>
      <c r="Q50" s="4205"/>
    </row>
    <row r="51" spans="1:31" ht="12.75" customHeight="1">
      <c r="A51" s="112"/>
      <c r="B51" s="371" t="s">
        <v>1446</v>
      </c>
      <c r="C51" s="4103" t="s">
        <v>3669</v>
      </c>
      <c r="D51" s="4103"/>
      <c r="E51" s="4103"/>
      <c r="F51" s="4103"/>
      <c r="G51" s="4103"/>
      <c r="H51" s="4103"/>
      <c r="I51" s="4103"/>
      <c r="J51" s="4103"/>
      <c r="K51" s="4103"/>
      <c r="L51" s="4103"/>
      <c r="M51" s="412"/>
      <c r="N51" s="108" t="s">
        <v>3896</v>
      </c>
      <c r="O51" s="704"/>
      <c r="P51" s="372"/>
      <c r="Q51" s="417"/>
    </row>
    <row r="52" spans="1:31" ht="12.75" customHeight="1">
      <c r="A52" s="40"/>
      <c r="C52" s="4103"/>
      <c r="D52" s="4103"/>
      <c r="E52" s="4103"/>
      <c r="F52" s="4103"/>
      <c r="G52" s="4103"/>
      <c r="H52" s="4103"/>
      <c r="I52" s="4103"/>
      <c r="J52" s="4103"/>
      <c r="K52" s="4103"/>
      <c r="L52" s="4103"/>
      <c r="M52" s="412"/>
    </row>
    <row r="53" spans="1:31" ht="10.5" customHeight="1">
      <c r="B53" s="73" t="s">
        <v>3156</v>
      </c>
      <c r="D53" s="73"/>
      <c r="E53" s="73"/>
      <c r="F53" s="73"/>
      <c r="G53" s="73"/>
      <c r="H53" s="33"/>
      <c r="I53" s="878"/>
      <c r="J53" s="878"/>
      <c r="K53" s="105" t="s">
        <v>1725</v>
      </c>
      <c r="L53" s="674"/>
      <c r="M53" s="674"/>
      <c r="N53" s="674"/>
      <c r="O53" s="674"/>
      <c r="P53" s="674"/>
      <c r="Q53" s="674"/>
    </row>
    <row r="54" spans="1:31" ht="10.5" customHeight="1">
      <c r="A54" s="4117"/>
      <c r="B54" s="4118"/>
      <c r="C54" s="4118"/>
      <c r="D54" s="4118"/>
      <c r="E54" s="4118"/>
      <c r="F54" s="4118"/>
      <c r="G54" s="4118"/>
      <c r="H54" s="4118"/>
      <c r="I54" s="4118"/>
      <c r="J54" s="4119"/>
      <c r="K54" s="4114"/>
      <c r="L54" s="4115"/>
      <c r="M54" s="4115"/>
      <c r="N54" s="4115"/>
      <c r="O54" s="4115"/>
      <c r="P54" s="4115"/>
      <c r="Q54" s="4116"/>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3889</v>
      </c>
      <c r="C56" s="2"/>
      <c r="D56" s="874"/>
      <c r="E56" s="874"/>
      <c r="F56" s="874"/>
      <c r="G56" s="874"/>
      <c r="H56" s="1263" t="e">
        <f>#REF!</f>
        <v>#REF!</v>
      </c>
      <c r="J56" s="1720" t="s">
        <v>4528</v>
      </c>
      <c r="K56" s="429" t="str">
        <f>'Part VIII Scoring Criteria OLD'!$M$60</f>
        <v>&lt;&lt; Select Pool &gt;&gt;</v>
      </c>
      <c r="L56" s="1720" t="s">
        <v>3696</v>
      </c>
      <c r="M56" s="854" t="str">
        <f>J35</f>
        <v>&lt;&lt; Select PROPOSED Tenancy &gt;&gt;</v>
      </c>
      <c r="O56" s="101" t="s">
        <v>1726</v>
      </c>
      <c r="P56" s="4109"/>
      <c r="Q56" s="4110"/>
    </row>
    <row r="57" spans="1:31" ht="3" customHeight="1"/>
    <row r="58" spans="1:31" ht="12.75" customHeight="1">
      <c r="A58" s="40" t="s">
        <v>1836</v>
      </c>
      <c r="B58" s="32" t="s">
        <v>2258</v>
      </c>
      <c r="D58" s="103"/>
      <c r="E58" s="103"/>
      <c r="F58" s="103"/>
      <c r="G58" s="103"/>
      <c r="H58" s="103"/>
      <c r="I58" s="35"/>
      <c r="J58" s="35"/>
      <c r="K58" s="35"/>
      <c r="L58" s="48" t="s">
        <v>1836</v>
      </c>
      <c r="M58" s="4130"/>
      <c r="N58" s="4131"/>
      <c r="O58" s="4131"/>
      <c r="P58" s="4218"/>
      <c r="Q58" s="418"/>
    </row>
    <row r="59" spans="1:31" ht="12.75" customHeight="1">
      <c r="A59" s="40" t="s">
        <v>1838</v>
      </c>
      <c r="B59" s="29" t="s">
        <v>3820</v>
      </c>
      <c r="D59" s="103"/>
      <c r="E59" s="103"/>
      <c r="F59" s="103"/>
      <c r="L59" s="48" t="s">
        <v>1838</v>
      </c>
      <c r="M59" s="4253"/>
      <c r="N59" s="4254"/>
      <c r="O59" s="4254"/>
      <c r="P59" s="3208"/>
      <c r="Q59" s="419"/>
    </row>
    <row r="60" spans="1:31" ht="12.75" customHeight="1">
      <c r="A60" s="40" t="s">
        <v>697</v>
      </c>
      <c r="B60" s="29" t="s">
        <v>2551</v>
      </c>
      <c r="D60" s="103"/>
      <c r="E60" s="103"/>
      <c r="F60" s="103"/>
      <c r="L60" s="48" t="s">
        <v>697</v>
      </c>
      <c r="M60" s="4249"/>
      <c r="N60" s="4250"/>
      <c r="O60" s="4250"/>
      <c r="P60" s="4251"/>
      <c r="Q60" s="419"/>
    </row>
    <row r="61" spans="1:31" ht="12.75" customHeight="1">
      <c r="A61" s="40" t="s">
        <v>1957</v>
      </c>
      <c r="B61" s="29" t="s">
        <v>3220</v>
      </c>
      <c r="D61" s="103"/>
      <c r="E61" s="103"/>
      <c r="F61" s="103"/>
      <c r="J61" s="48" t="s">
        <v>3221</v>
      </c>
      <c r="K61" s="1446"/>
      <c r="L61" s="1443"/>
      <c r="M61" s="1445"/>
      <c r="N61" s="1444"/>
      <c r="O61" s="864" t="s">
        <v>3302</v>
      </c>
      <c r="P61" s="865"/>
      <c r="Q61" s="1442"/>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146"/>
      <c r="F65" s="4146"/>
      <c r="G65" s="4146"/>
      <c r="H65" s="48" t="s">
        <v>1446</v>
      </c>
      <c r="I65" s="1682"/>
      <c r="J65" s="4146"/>
      <c r="K65" s="4146"/>
      <c r="L65" s="4146"/>
      <c r="M65" s="48" t="s">
        <v>480</v>
      </c>
      <c r="N65" s="1682"/>
      <c r="O65" s="4146"/>
      <c r="P65" s="4146"/>
      <c r="Q65" s="4146"/>
    </row>
    <row r="66" spans="1:31" ht="12.75" customHeight="1">
      <c r="C66" s="49" t="s">
        <v>1613</v>
      </c>
      <c r="D66" s="384"/>
      <c r="E66" s="4147"/>
      <c r="F66" s="4147"/>
      <c r="G66" s="4147"/>
      <c r="H66" s="48" t="s">
        <v>1447</v>
      </c>
      <c r="I66" s="384"/>
      <c r="J66" s="4147"/>
      <c r="K66" s="4147"/>
      <c r="L66" s="4147"/>
      <c r="M66" s="48" t="s">
        <v>481</v>
      </c>
      <c r="N66" s="384"/>
      <c r="O66" s="4147"/>
      <c r="P66" s="4147"/>
      <c r="Q66" s="4147"/>
    </row>
    <row r="67" spans="1:31" ht="12.75" customHeight="1">
      <c r="A67" s="40" t="s">
        <v>1610</v>
      </c>
      <c r="B67" s="29" t="s">
        <v>4005</v>
      </c>
      <c r="D67" s="103"/>
      <c r="E67" s="103"/>
      <c r="F67" s="103"/>
      <c r="G67" s="103"/>
      <c r="H67" s="103"/>
      <c r="I67" s="35"/>
      <c r="J67" s="35"/>
      <c r="K67" s="103"/>
      <c r="L67" s="876"/>
      <c r="M67" s="876"/>
      <c r="O67" s="48" t="s">
        <v>1610</v>
      </c>
      <c r="P67" s="1224"/>
      <c r="Q67" s="1225"/>
    </row>
    <row r="68" spans="1:31" ht="12.75" customHeight="1">
      <c r="A68" s="40" t="s">
        <v>1803</v>
      </c>
      <c r="B68" s="29" t="s">
        <v>4006</v>
      </c>
      <c r="D68" s="103"/>
      <c r="E68" s="103"/>
      <c r="F68" s="103"/>
      <c r="G68" s="103"/>
      <c r="H68" s="103"/>
      <c r="I68" s="35"/>
      <c r="J68" s="35"/>
      <c r="K68" s="103"/>
      <c r="L68" s="876"/>
      <c r="M68" s="876"/>
      <c r="O68" s="48" t="s">
        <v>1803</v>
      </c>
      <c r="P68" s="299"/>
      <c r="Q68" s="419"/>
    </row>
    <row r="69" spans="1:31" ht="10.5" customHeight="1">
      <c r="A69" s="40" t="s">
        <v>2933</v>
      </c>
      <c r="B69" s="29" t="s">
        <v>4007</v>
      </c>
      <c r="D69" s="103"/>
      <c r="E69" s="103"/>
      <c r="F69" s="103"/>
      <c r="G69" s="103"/>
      <c r="H69" s="103"/>
      <c r="I69" s="35"/>
      <c r="J69" s="35"/>
      <c r="K69" s="103"/>
      <c r="L69" s="876"/>
      <c r="M69" s="876"/>
      <c r="O69" s="48" t="s">
        <v>2933</v>
      </c>
      <c r="P69" s="865"/>
      <c r="Q69" s="1442"/>
    </row>
    <row r="70" spans="1:31" ht="9.75" customHeight="1">
      <c r="B70" s="109" t="s">
        <v>3156</v>
      </c>
      <c r="D70" s="109"/>
      <c r="E70" s="109"/>
      <c r="F70" s="109"/>
      <c r="G70" s="109"/>
      <c r="H70" s="33"/>
      <c r="I70" s="878"/>
      <c r="J70" s="878"/>
      <c r="K70" s="878"/>
      <c r="L70" s="674"/>
      <c r="M70" s="674"/>
      <c r="N70" s="674"/>
      <c r="O70" s="674"/>
      <c r="P70" s="674"/>
      <c r="Q70" s="674"/>
    </row>
    <row r="71" spans="1:31" ht="33" customHeight="1">
      <c r="A71" s="4117"/>
      <c r="B71" s="4118"/>
      <c r="C71" s="4118"/>
      <c r="D71" s="4118"/>
      <c r="E71" s="4118"/>
      <c r="F71" s="4118"/>
      <c r="G71" s="4118"/>
      <c r="H71" s="4118"/>
      <c r="I71" s="4118"/>
      <c r="J71" s="4118"/>
      <c r="K71" s="4118"/>
      <c r="L71" s="4118"/>
      <c r="M71" s="4118"/>
      <c r="N71" s="4118"/>
      <c r="O71" s="4118"/>
      <c r="P71" s="4118"/>
      <c r="Q71" s="4119"/>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4"/>
      <c r="B73" s="4115"/>
      <c r="C73" s="4115"/>
      <c r="D73" s="4115"/>
      <c r="E73" s="4115"/>
      <c r="F73" s="4115"/>
      <c r="G73" s="4115"/>
      <c r="H73" s="4115"/>
      <c r="I73" s="4115"/>
      <c r="J73" s="4115"/>
      <c r="K73" s="4115"/>
      <c r="L73" s="4115"/>
      <c r="M73" s="4115"/>
      <c r="N73" s="4115"/>
      <c r="O73" s="4115"/>
      <c r="P73" s="4115"/>
      <c r="Q73" s="4116"/>
    </row>
    <row r="74" spans="1:31" ht="14.1" customHeight="1">
      <c r="A74" s="2" t="s">
        <v>495</v>
      </c>
      <c r="B74" s="2" t="s">
        <v>2416</v>
      </c>
      <c r="C74" s="2"/>
      <c r="D74" s="874"/>
      <c r="E74" s="874"/>
      <c r="F74" s="874"/>
      <c r="G74" s="874"/>
      <c r="H74" s="874"/>
      <c r="I74" s="874"/>
      <c r="J74" s="874"/>
      <c r="K74" s="874"/>
      <c r="L74" s="874"/>
      <c r="M74" s="874"/>
      <c r="O74" s="101" t="s">
        <v>1726</v>
      </c>
      <c r="P74" s="4109"/>
      <c r="Q74" s="4110"/>
    </row>
    <row r="75" spans="1:31" ht="3" customHeight="1"/>
    <row r="76" spans="1:31" ht="12.75" customHeight="1">
      <c r="A76" s="40" t="s">
        <v>1836</v>
      </c>
      <c r="B76" s="29" t="s">
        <v>3897</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6"/>
      <c r="N77" s="4127"/>
      <c r="O77" s="4127"/>
      <c r="P77" s="4128"/>
      <c r="Q77" s="419"/>
    </row>
    <row r="78" spans="1:31" s="35" customFormat="1" ht="12.75" customHeight="1">
      <c r="B78" s="113" t="s">
        <v>1612</v>
      </c>
      <c r="C78" s="29" t="s">
        <v>3711</v>
      </c>
      <c r="O78" s="49" t="s">
        <v>1612</v>
      </c>
      <c r="P78" s="1224"/>
      <c r="Q78" s="1225"/>
    </row>
    <row r="79" spans="1:31" s="35" customFormat="1" ht="12.75" customHeight="1">
      <c r="B79" s="1161" t="s">
        <v>1613</v>
      </c>
      <c r="C79" s="29" t="s">
        <v>3923</v>
      </c>
      <c r="O79" s="117" t="s">
        <v>1613</v>
      </c>
      <c r="P79" s="1339"/>
      <c r="Q79" s="1340"/>
    </row>
    <row r="80" spans="1:31" ht="12.75" customHeight="1">
      <c r="A80" s="878"/>
      <c r="B80" s="371" t="s">
        <v>2176</v>
      </c>
      <c r="C80" s="33" t="s">
        <v>3673</v>
      </c>
      <c r="D80" s="787"/>
      <c r="E80" s="787"/>
      <c r="F80" s="787"/>
      <c r="G80" s="787"/>
      <c r="H80" s="787"/>
      <c r="I80" s="787"/>
      <c r="J80" s="787"/>
      <c r="K80" s="787"/>
      <c r="L80" s="787"/>
      <c r="M80" s="787"/>
      <c r="O80" s="128" t="s">
        <v>2176</v>
      </c>
      <c r="P80" s="781"/>
      <c r="Q80" s="419"/>
    </row>
    <row r="81" spans="1:31" ht="12.75" customHeight="1">
      <c r="A81" s="878"/>
      <c r="B81" s="371" t="s">
        <v>1446</v>
      </c>
      <c r="C81" s="33" t="s">
        <v>2995</v>
      </c>
      <c r="D81" s="787"/>
      <c r="E81" s="787"/>
      <c r="F81" s="787"/>
      <c r="G81" s="787"/>
      <c r="H81" s="787"/>
      <c r="I81" s="787"/>
      <c r="J81" s="787"/>
      <c r="K81" s="787"/>
      <c r="L81" s="787"/>
      <c r="M81" s="787"/>
      <c r="O81" s="128" t="s">
        <v>1446</v>
      </c>
      <c r="P81" s="299"/>
      <c r="Q81" s="419"/>
    </row>
    <row r="82" spans="1:31" ht="12.75" customHeight="1">
      <c r="A82" s="878"/>
      <c r="B82" s="371" t="s">
        <v>1447</v>
      </c>
      <c r="C82" s="33" t="s">
        <v>2996</v>
      </c>
      <c r="D82" s="787"/>
      <c r="E82" s="787"/>
      <c r="F82" s="787"/>
      <c r="G82" s="787"/>
      <c r="H82" s="787"/>
      <c r="I82" s="787"/>
      <c r="J82" s="787"/>
      <c r="K82" s="787"/>
      <c r="L82" s="787"/>
      <c r="M82" s="787"/>
      <c r="O82" s="128" t="s">
        <v>1447</v>
      </c>
      <c r="P82" s="299"/>
      <c r="Q82" s="419"/>
    </row>
    <row r="83" spans="1:31" ht="12.75" customHeight="1">
      <c r="A83" s="878"/>
      <c r="B83" s="371" t="s">
        <v>93</v>
      </c>
      <c r="C83" s="33" t="s">
        <v>2552</v>
      </c>
      <c r="D83" s="33"/>
      <c r="E83" s="33"/>
      <c r="F83" s="33"/>
      <c r="G83" s="33"/>
      <c r="H83" s="33"/>
      <c r="I83" s="33"/>
      <c r="J83" s="33"/>
      <c r="K83" s="33"/>
      <c r="L83" s="33"/>
      <c r="M83" s="905"/>
      <c r="O83" s="128" t="s">
        <v>93</v>
      </c>
      <c r="P83" s="299"/>
      <c r="Q83" s="419"/>
    </row>
    <row r="84" spans="1:31" s="102" customFormat="1" ht="23.25" customHeight="1">
      <c r="A84" s="346"/>
      <c r="B84" s="371" t="s">
        <v>480</v>
      </c>
      <c r="C84" s="4103" t="s">
        <v>3823</v>
      </c>
      <c r="D84" s="4103"/>
      <c r="E84" s="4103"/>
      <c r="F84" s="4103"/>
      <c r="G84" s="4103"/>
      <c r="H84" s="4103"/>
      <c r="I84" s="4103"/>
      <c r="J84" s="4103"/>
      <c r="K84" s="4103"/>
      <c r="L84" s="4103"/>
      <c r="M84" s="4103"/>
      <c r="N84" s="4103"/>
      <c r="O84" s="128" t="s">
        <v>480</v>
      </c>
      <c r="P84" s="883"/>
      <c r="Q84" s="882"/>
    </row>
    <row r="85" spans="1:31" ht="12.75" customHeight="1">
      <c r="A85" s="40" t="s">
        <v>1838</v>
      </c>
      <c r="B85" s="29" t="s">
        <v>3822</v>
      </c>
      <c r="C85" s="29"/>
      <c r="E85" s="29"/>
      <c r="F85" s="29"/>
      <c r="G85" s="29"/>
      <c r="H85" s="29"/>
      <c r="I85" s="29"/>
      <c r="J85" s="29"/>
      <c r="K85" s="29"/>
      <c r="L85" s="29"/>
      <c r="M85" s="29"/>
      <c r="O85" s="48" t="s">
        <v>1838</v>
      </c>
      <c r="P85" s="1224"/>
      <c r="Q85" s="1225"/>
    </row>
    <row r="86" spans="1:31" ht="12.75" customHeight="1">
      <c r="B86" s="1161" t="s">
        <v>1611</v>
      </c>
      <c r="C86" s="29" t="s">
        <v>3941</v>
      </c>
      <c r="D86" s="29"/>
      <c r="E86" s="29"/>
      <c r="F86" s="29"/>
      <c r="G86" s="29"/>
      <c r="H86" s="29"/>
      <c r="I86" s="29"/>
      <c r="J86" s="29"/>
      <c r="K86" s="29"/>
      <c r="L86" s="29"/>
      <c r="M86" s="29"/>
      <c r="O86" s="117" t="s">
        <v>1611</v>
      </c>
      <c r="P86" s="1224"/>
      <c r="Q86" s="1225"/>
    </row>
    <row r="87" spans="1:31" ht="12.75" customHeight="1">
      <c r="A87" s="40"/>
      <c r="B87" s="113" t="s">
        <v>1612</v>
      </c>
      <c r="C87" s="29" t="s">
        <v>3940</v>
      </c>
      <c r="D87" s="29"/>
      <c r="E87" s="29"/>
      <c r="F87" s="29"/>
      <c r="G87" s="29"/>
      <c r="H87" s="29"/>
      <c r="I87" s="29"/>
      <c r="J87" s="29"/>
      <c r="K87" s="29"/>
      <c r="L87" s="29"/>
      <c r="M87" s="29"/>
      <c r="O87" s="49" t="s">
        <v>1612</v>
      </c>
      <c r="P87" s="1337"/>
      <c r="Q87" s="1336"/>
    </row>
    <row r="88" spans="1:31" ht="10.5" customHeight="1">
      <c r="B88" s="109" t="s">
        <v>3156</v>
      </c>
      <c r="D88" s="109"/>
      <c r="E88" s="109"/>
      <c r="F88" s="109"/>
      <c r="G88" s="109"/>
      <c r="H88" s="33"/>
      <c r="I88" s="878"/>
      <c r="J88" s="878"/>
      <c r="K88" s="878"/>
      <c r="L88" s="674"/>
      <c r="M88" s="674"/>
      <c r="N88" s="674"/>
      <c r="O88" s="674"/>
      <c r="P88" s="674"/>
      <c r="Q88" s="674"/>
    </row>
    <row r="89" spans="1:31" ht="22.5" customHeight="1">
      <c r="A89" s="4117"/>
      <c r="B89" s="4118"/>
      <c r="C89" s="4118"/>
      <c r="D89" s="4118"/>
      <c r="E89" s="4118"/>
      <c r="F89" s="4118"/>
      <c r="G89" s="4118"/>
      <c r="H89" s="4118"/>
      <c r="I89" s="4118"/>
      <c r="J89" s="4118"/>
      <c r="K89" s="4118"/>
      <c r="L89" s="4118"/>
      <c r="M89" s="4118"/>
      <c r="N89" s="4118"/>
      <c r="O89" s="4118"/>
      <c r="P89" s="4118"/>
      <c r="Q89" s="4119"/>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4"/>
      <c r="B91" s="4115"/>
      <c r="C91" s="4115"/>
      <c r="D91" s="4115"/>
      <c r="E91" s="4115"/>
      <c r="F91" s="4115"/>
      <c r="G91" s="4115"/>
      <c r="H91" s="4115"/>
      <c r="I91" s="4115"/>
      <c r="J91" s="4115"/>
      <c r="K91" s="4115"/>
      <c r="L91" s="4115"/>
      <c r="M91" s="4115"/>
      <c r="N91" s="4115"/>
      <c r="O91" s="4115"/>
      <c r="P91" s="4115"/>
      <c r="Q91" s="4116"/>
    </row>
    <row r="92" spans="1:31" ht="14.1" customHeight="1">
      <c r="A92" s="2" t="s">
        <v>719</v>
      </c>
      <c r="B92" s="2" t="s">
        <v>2417</v>
      </c>
      <c r="C92" s="33"/>
      <c r="D92" s="874"/>
      <c r="E92" s="874"/>
      <c r="F92" s="874"/>
      <c r="G92" s="874"/>
      <c r="H92" s="874"/>
      <c r="I92" s="874"/>
      <c r="J92" s="874"/>
      <c r="K92" s="874"/>
      <c r="L92" s="874"/>
      <c r="M92" s="874"/>
      <c r="N92" s="845" t="s">
        <v>4426</v>
      </c>
      <c r="O92" s="101" t="s">
        <v>1726</v>
      </c>
      <c r="P92" s="4109"/>
      <c r="Q92" s="4110"/>
      <c r="R92" s="847" t="s">
        <v>4413</v>
      </c>
    </row>
    <row r="93" spans="1:31" ht="6.6" customHeight="1"/>
    <row r="94" spans="1:31">
      <c r="A94" s="40" t="s">
        <v>1836</v>
      </c>
      <c r="B94" s="29" t="s">
        <v>4082</v>
      </c>
      <c r="D94" s="103"/>
      <c r="E94" s="103"/>
      <c r="F94" s="103"/>
      <c r="G94" s="103"/>
      <c r="H94" s="103"/>
      <c r="I94" s="35"/>
      <c r="J94" s="35"/>
      <c r="K94" s="48" t="s">
        <v>1836</v>
      </c>
      <c r="L94" s="4148"/>
      <c r="M94" s="4148"/>
      <c r="N94" s="4148"/>
      <c r="O94" s="4148"/>
      <c r="P94" s="4149"/>
      <c r="Q94" s="1700"/>
    </row>
    <row r="95" spans="1:31" ht="12" customHeight="1">
      <c r="B95" s="44" t="s">
        <v>4520</v>
      </c>
      <c r="O95" s="49" t="s">
        <v>1612</v>
      </c>
      <c r="P95" s="299"/>
      <c r="Q95" s="419"/>
    </row>
    <row r="96" spans="1:31" ht="12" customHeight="1">
      <c r="B96" s="44" t="s">
        <v>4414</v>
      </c>
      <c r="I96" s="44" t="s">
        <v>4416</v>
      </c>
      <c r="K96" s="1708"/>
      <c r="L96" s="1709"/>
      <c r="N96" s="44" t="s">
        <v>4415</v>
      </c>
      <c r="P96" s="1706"/>
      <c r="Q96" s="1707"/>
    </row>
    <row r="97" spans="1:17" ht="12" customHeight="1">
      <c r="A97" s="40" t="s">
        <v>1838</v>
      </c>
      <c r="B97" s="29" t="s">
        <v>4525</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7"/>
      <c r="M99" s="4267"/>
      <c r="N99" s="4267"/>
      <c r="O99" s="4267"/>
      <c r="P99" s="4268"/>
      <c r="Q99" s="419"/>
    </row>
    <row r="100" spans="1:17" ht="12" customHeight="1">
      <c r="A100" s="107"/>
      <c r="B100" s="113" t="s">
        <v>1612</v>
      </c>
      <c r="C100" s="29" t="s">
        <v>2997</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3660</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4513</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4514</v>
      </c>
      <c r="E104" s="103"/>
      <c r="F104" s="103"/>
      <c r="G104" s="103"/>
      <c r="H104" s="72"/>
      <c r="I104" s="72"/>
      <c r="J104" s="72"/>
      <c r="K104" s="103"/>
      <c r="L104" s="876"/>
      <c r="M104" s="876"/>
      <c r="O104" s="48" t="s">
        <v>1612</v>
      </c>
      <c r="P104" s="299"/>
      <c r="Q104" s="419"/>
    </row>
    <row r="105" spans="1:17" s="115" customFormat="1" ht="12" customHeight="1">
      <c r="A105" s="40"/>
      <c r="B105" s="33"/>
      <c r="C105" s="29" t="s">
        <v>4515</v>
      </c>
      <c r="E105" s="48" t="s">
        <v>2234</v>
      </c>
      <c r="F105" s="29" t="s">
        <v>4516</v>
      </c>
      <c r="G105" s="72"/>
      <c r="H105" s="29"/>
      <c r="I105" s="72"/>
      <c r="J105" s="72"/>
      <c r="K105" s="103"/>
      <c r="L105" s="876"/>
      <c r="M105" s="876"/>
      <c r="O105" s="48" t="s">
        <v>2234</v>
      </c>
      <c r="P105" s="1774"/>
      <c r="Q105" s="1775"/>
    </row>
    <row r="106" spans="1:17" s="115" customFormat="1" ht="12" customHeight="1">
      <c r="A106" s="40"/>
      <c r="B106" s="33"/>
      <c r="E106" s="48" t="s">
        <v>2235</v>
      </c>
      <c r="F106" s="29" t="s">
        <v>4517</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4515</v>
      </c>
      <c r="E108" s="48" t="s">
        <v>2234</v>
      </c>
      <c r="F108" s="29" t="s">
        <v>4518</v>
      </c>
      <c r="G108" s="72"/>
      <c r="H108" s="29"/>
      <c r="I108" s="72"/>
      <c r="J108" s="72"/>
      <c r="K108" s="103"/>
      <c r="L108" s="876"/>
      <c r="O108" s="48" t="s">
        <v>2234</v>
      </c>
      <c r="P108" s="1774"/>
      <c r="Q108" s="1775"/>
    </row>
    <row r="109" spans="1:17" s="115" customFormat="1" ht="12" customHeight="1">
      <c r="A109" s="40"/>
      <c r="B109" s="48"/>
      <c r="E109" s="48" t="s">
        <v>2235</v>
      </c>
      <c r="F109" s="29" t="s">
        <v>4519</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3733</v>
      </c>
      <c r="I111" s="29" t="s">
        <v>2494</v>
      </c>
      <c r="J111" s="1224"/>
      <c r="K111" s="1225"/>
      <c r="L111" s="48" t="s">
        <v>3737</v>
      </c>
      <c r="M111" s="108" t="s">
        <v>4087</v>
      </c>
      <c r="P111" s="1224"/>
      <c r="Q111" s="1225"/>
    </row>
    <row r="112" spans="1:17" ht="12.75" customHeight="1">
      <c r="B112" s="113" t="s">
        <v>1612</v>
      </c>
      <c r="C112" s="29" t="s">
        <v>4083</v>
      </c>
      <c r="E112" s="103"/>
      <c r="F112" s="299"/>
      <c r="G112" s="419"/>
      <c r="H112" s="48" t="s">
        <v>3734</v>
      </c>
      <c r="I112" s="29" t="s">
        <v>4008</v>
      </c>
      <c r="J112" s="299"/>
      <c r="K112" s="419"/>
      <c r="L112" s="48" t="s">
        <v>3738</v>
      </c>
      <c r="M112" s="44" t="s">
        <v>3198</v>
      </c>
      <c r="O112" s="876"/>
      <c r="P112" s="299"/>
      <c r="Q112" s="419"/>
    </row>
    <row r="113" spans="1:31" ht="12" customHeight="1">
      <c r="A113" s="29"/>
      <c r="B113" s="113" t="s">
        <v>1613</v>
      </c>
      <c r="C113" s="29" t="s">
        <v>4084</v>
      </c>
      <c r="E113" s="103"/>
      <c r="F113" s="299"/>
      <c r="G113" s="419"/>
      <c r="H113" s="48" t="s">
        <v>3735</v>
      </c>
      <c r="I113" s="29" t="s">
        <v>4009</v>
      </c>
      <c r="J113" s="299"/>
      <c r="K113" s="419"/>
      <c r="L113" s="48" t="s">
        <v>3739</v>
      </c>
      <c r="M113" s="29" t="s">
        <v>1448</v>
      </c>
      <c r="P113" s="299"/>
      <c r="Q113" s="419"/>
    </row>
    <row r="114" spans="1:31" ht="12" customHeight="1">
      <c r="A114" s="29"/>
      <c r="B114" s="113" t="s">
        <v>2176</v>
      </c>
      <c r="C114" s="44" t="s">
        <v>2408</v>
      </c>
      <c r="E114" s="103"/>
      <c r="F114" s="176"/>
      <c r="G114" s="420"/>
      <c r="H114" s="48" t="s">
        <v>3736</v>
      </c>
      <c r="I114" s="44" t="s">
        <v>4085</v>
      </c>
      <c r="J114" s="176"/>
      <c r="K114" s="420"/>
      <c r="L114" s="48" t="s">
        <v>4086</v>
      </c>
      <c r="M114" s="44" t="s">
        <v>4010</v>
      </c>
      <c r="P114" s="176"/>
      <c r="Q114" s="420"/>
    </row>
    <row r="115" spans="1:31" ht="12" customHeight="1">
      <c r="A115" s="29"/>
      <c r="B115" s="48" t="s">
        <v>4417</v>
      </c>
      <c r="C115" s="29" t="s">
        <v>2495</v>
      </c>
      <c r="E115" s="103"/>
      <c r="F115" s="103"/>
      <c r="G115" s="103"/>
      <c r="H115" s="103"/>
      <c r="I115" s="103"/>
      <c r="J115" s="103"/>
      <c r="K115" s="103"/>
      <c r="L115" s="103"/>
      <c r="M115" s="29"/>
      <c r="O115" s="49"/>
      <c r="P115" s="49"/>
    </row>
    <row r="116" spans="1:31" ht="12" customHeight="1">
      <c r="A116" s="29"/>
      <c r="C116" s="4252"/>
      <c r="D116" s="4252"/>
      <c r="E116" s="4252"/>
      <c r="F116" s="4252"/>
      <c r="G116" s="4252"/>
      <c r="H116" s="4252"/>
      <c r="I116" s="4252"/>
      <c r="J116" s="4252"/>
      <c r="K116" s="4252"/>
      <c r="L116" s="4252"/>
      <c r="M116" s="4252"/>
      <c r="N116" s="4252"/>
      <c r="O116" s="4252"/>
      <c r="P116" s="4252"/>
      <c r="Q116" s="4252"/>
    </row>
    <row r="117" spans="1:31" ht="12" customHeight="1">
      <c r="A117" s="110" t="s">
        <v>1610</v>
      </c>
      <c r="B117" s="29" t="s">
        <v>3055</v>
      </c>
      <c r="D117" s="103"/>
      <c r="E117" s="103"/>
      <c r="F117" s="103"/>
      <c r="G117" s="103"/>
      <c r="H117" s="103"/>
      <c r="I117" s="35"/>
      <c r="J117" s="35"/>
      <c r="K117" s="103"/>
      <c r="L117" s="103"/>
      <c r="M117" s="876"/>
    </row>
    <row r="118" spans="1:31" ht="12.75" customHeight="1">
      <c r="A118" s="35"/>
      <c r="B118" s="113" t="s">
        <v>1611</v>
      </c>
      <c r="C118" s="29" t="s">
        <v>2496</v>
      </c>
      <c r="E118" s="103"/>
      <c r="F118" s="103"/>
      <c r="G118" s="103"/>
      <c r="H118" s="103"/>
      <c r="O118" s="48" t="s">
        <v>4521</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3721</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3" t="s">
        <v>141</v>
      </c>
      <c r="C123" s="4103"/>
      <c r="D123" s="4103"/>
      <c r="E123" s="4103"/>
      <c r="F123" s="4103"/>
      <c r="G123" s="4103"/>
      <c r="H123" s="4103"/>
      <c r="I123" s="4103"/>
      <c r="J123" s="4103"/>
      <c r="K123" s="4103"/>
      <c r="L123" s="4103"/>
      <c r="M123" s="128" t="s">
        <v>1803</v>
      </c>
      <c r="N123" s="4283" t="s">
        <v>1641</v>
      </c>
      <c r="O123" s="4284"/>
      <c r="P123" s="4285" t="s">
        <v>1641</v>
      </c>
      <c r="Q123" s="4286"/>
    </row>
    <row r="124" spans="1:31" ht="11.25" customHeight="1">
      <c r="B124" s="109" t="s">
        <v>3156</v>
      </c>
      <c r="D124" s="109"/>
      <c r="E124" s="109"/>
      <c r="F124" s="109"/>
      <c r="G124" s="109"/>
      <c r="H124" s="33"/>
      <c r="I124" s="878"/>
      <c r="J124" s="878"/>
      <c r="K124" s="878"/>
      <c r="L124" s="674"/>
      <c r="M124" s="674"/>
      <c r="N124" s="674"/>
      <c r="O124" s="674"/>
      <c r="P124" s="674"/>
      <c r="Q124" s="674"/>
    </row>
    <row r="125" spans="1:31" ht="45" customHeight="1">
      <c r="A125" s="4117"/>
      <c r="B125" s="4118"/>
      <c r="C125" s="4118"/>
      <c r="D125" s="4118"/>
      <c r="E125" s="4118"/>
      <c r="F125" s="4118"/>
      <c r="G125" s="4118"/>
      <c r="H125" s="4118"/>
      <c r="I125" s="4118"/>
      <c r="J125" s="4118"/>
      <c r="K125" s="4118"/>
      <c r="L125" s="4118"/>
      <c r="M125" s="4118"/>
      <c r="N125" s="4118"/>
      <c r="O125" s="4118"/>
      <c r="P125" s="4118"/>
      <c r="Q125" s="4119"/>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4"/>
      <c r="B128" s="4115"/>
      <c r="C128" s="4115"/>
      <c r="D128" s="4115"/>
      <c r="E128" s="4115"/>
      <c r="F128" s="4115"/>
      <c r="G128" s="4115"/>
      <c r="H128" s="4115"/>
      <c r="I128" s="4115"/>
      <c r="J128" s="4115"/>
      <c r="K128" s="4115"/>
      <c r="L128" s="4115"/>
      <c r="M128" s="4115"/>
      <c r="N128" s="4115"/>
      <c r="O128" s="4115"/>
      <c r="P128" s="4115"/>
      <c r="Q128" s="4116"/>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4426</v>
      </c>
      <c r="O130" s="101" t="s">
        <v>1726</v>
      </c>
      <c r="P130" s="4109"/>
      <c r="Q130" s="4110"/>
      <c r="R130" s="847" t="s">
        <v>4413</v>
      </c>
    </row>
    <row r="131" spans="1:31" ht="12" customHeight="1">
      <c r="A131" s="40" t="s">
        <v>1836</v>
      </c>
      <c r="B131" s="113" t="s">
        <v>1611</v>
      </c>
      <c r="C131" s="29" t="s">
        <v>4428</v>
      </c>
      <c r="D131" s="29"/>
      <c r="E131" s="29"/>
      <c r="F131" s="29"/>
      <c r="G131" s="29"/>
      <c r="K131" s="29" t="s">
        <v>2454</v>
      </c>
      <c r="M131" s="4212"/>
      <c r="N131" s="4213"/>
      <c r="O131" s="49" t="s">
        <v>1611</v>
      </c>
      <c r="P131" s="74"/>
      <c r="Q131" s="416"/>
    </row>
    <row r="132" spans="1:31" ht="12" customHeight="1">
      <c r="A132" s="40"/>
      <c r="B132" s="113" t="s">
        <v>1612</v>
      </c>
      <c r="C132" s="29" t="s">
        <v>3924</v>
      </c>
      <c r="D132" s="29"/>
      <c r="E132" s="29"/>
      <c r="F132" s="29"/>
      <c r="G132" s="29"/>
      <c r="K132" s="29" t="s">
        <v>2454</v>
      </c>
      <c r="M132" s="4212"/>
      <c r="N132" s="4213"/>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4" t="s">
        <v>4690</v>
      </c>
      <c r="N133" s="4215"/>
      <c r="P133" s="4216" t="s">
        <v>1641</v>
      </c>
      <c r="Q133" s="4217"/>
    </row>
    <row r="134" spans="1:31" ht="12" customHeight="1">
      <c r="A134" s="40" t="s">
        <v>697</v>
      </c>
      <c r="B134" s="108" t="s">
        <v>635</v>
      </c>
      <c r="D134" s="108"/>
      <c r="E134" s="108"/>
      <c r="F134" s="108"/>
      <c r="G134" s="108"/>
      <c r="H134" s="108"/>
      <c r="J134" s="48" t="s">
        <v>697</v>
      </c>
      <c r="K134" s="4126"/>
      <c r="L134" s="4127"/>
      <c r="M134" s="4127"/>
      <c r="N134" s="4127"/>
      <c r="O134" s="4127"/>
      <c r="P134" s="4205"/>
      <c r="Q134" s="416"/>
    </row>
    <row r="135" spans="1:31" ht="21.75" customHeight="1">
      <c r="A135" s="110" t="s">
        <v>1957</v>
      </c>
      <c r="B135" s="4103" t="s">
        <v>4088</v>
      </c>
      <c r="C135" s="4103"/>
      <c r="D135" s="4103"/>
      <c r="E135" s="4103"/>
      <c r="F135" s="4103"/>
      <c r="G135" s="4103"/>
      <c r="H135" s="4103"/>
      <c r="I135" s="4103"/>
      <c r="J135" s="4103"/>
      <c r="K135" s="4103"/>
      <c r="L135" s="4103"/>
      <c r="M135" s="4103"/>
      <c r="N135" s="4103"/>
      <c r="O135" s="128" t="s">
        <v>1957</v>
      </c>
      <c r="P135" s="883"/>
      <c r="Q135" s="882"/>
    </row>
    <row r="136" spans="1:31" ht="12" customHeight="1">
      <c r="B136" s="109" t="s">
        <v>3156</v>
      </c>
      <c r="D136" s="109"/>
      <c r="E136" s="109"/>
      <c r="F136" s="109"/>
      <c r="G136" s="109"/>
      <c r="H136" s="33"/>
      <c r="I136" s="878"/>
      <c r="J136" s="878"/>
      <c r="K136" s="878"/>
      <c r="L136" s="674"/>
      <c r="M136" s="674"/>
      <c r="N136" s="674"/>
      <c r="O136" s="674"/>
      <c r="P136" s="674"/>
      <c r="Q136" s="674"/>
    </row>
    <row r="137" spans="1:31" ht="11.65" customHeight="1">
      <c r="A137" s="4117"/>
      <c r="B137" s="4118"/>
      <c r="C137" s="4118"/>
      <c r="D137" s="4118"/>
      <c r="E137" s="4118"/>
      <c r="F137" s="4118"/>
      <c r="G137" s="4118"/>
      <c r="H137" s="4118"/>
      <c r="I137" s="4118"/>
      <c r="J137" s="4118"/>
      <c r="K137" s="4118"/>
      <c r="L137" s="4118"/>
      <c r="M137" s="4118"/>
      <c r="N137" s="4118"/>
      <c r="O137" s="4118"/>
      <c r="P137" s="4118"/>
      <c r="Q137" s="4119"/>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14"/>
      <c r="B139" s="4115"/>
      <c r="C139" s="4115"/>
      <c r="D139" s="4115"/>
      <c r="E139" s="4115"/>
      <c r="F139" s="4115"/>
      <c r="G139" s="4115"/>
      <c r="H139" s="4115"/>
      <c r="I139" s="4115"/>
      <c r="J139" s="4115"/>
      <c r="K139" s="4115"/>
      <c r="L139" s="4115"/>
      <c r="M139" s="4115"/>
      <c r="N139" s="4115"/>
      <c r="O139" s="4115"/>
      <c r="P139" s="4115"/>
      <c r="Q139" s="4116"/>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9"/>
      <c r="Q141" s="4110"/>
    </row>
    <row r="142" spans="1:31" ht="21.75" customHeight="1">
      <c r="A142" s="110" t="s">
        <v>1836</v>
      </c>
      <c r="B142" s="4103" t="s">
        <v>3149</v>
      </c>
      <c r="C142" s="4103"/>
      <c r="D142" s="4103"/>
      <c r="E142" s="4103"/>
      <c r="F142" s="4103"/>
      <c r="G142" s="4103"/>
      <c r="H142" s="4103"/>
      <c r="I142" s="4103"/>
      <c r="J142" s="4103"/>
      <c r="K142" s="4103"/>
      <c r="L142" s="4103"/>
      <c r="M142" s="4103"/>
      <c r="N142" s="4103"/>
      <c r="O142" s="128" t="s">
        <v>1836</v>
      </c>
      <c r="P142" s="881"/>
      <c r="Q142" s="880"/>
    </row>
    <row r="143" spans="1:31" ht="22.35" customHeight="1">
      <c r="A143" s="110" t="s">
        <v>1838</v>
      </c>
      <c r="B143" s="4103" t="s">
        <v>3674</v>
      </c>
      <c r="C143" s="4103"/>
      <c r="D143" s="4103"/>
      <c r="E143" s="4103"/>
      <c r="F143" s="4103"/>
      <c r="G143" s="4103"/>
      <c r="H143" s="4103"/>
      <c r="I143" s="4103"/>
      <c r="J143" s="4103"/>
      <c r="K143" s="4103"/>
      <c r="L143" s="4103"/>
      <c r="M143" s="4103"/>
      <c r="N143" s="4103"/>
      <c r="O143" s="128" t="s">
        <v>1838</v>
      </c>
      <c r="P143" s="430"/>
      <c r="Q143" s="421"/>
    </row>
    <row r="144" spans="1:31" ht="22.35" customHeight="1">
      <c r="A144" s="110" t="s">
        <v>697</v>
      </c>
      <c r="B144" s="4103" t="s">
        <v>3150</v>
      </c>
      <c r="C144" s="4103"/>
      <c r="D144" s="4103"/>
      <c r="E144" s="4103"/>
      <c r="F144" s="4103"/>
      <c r="G144" s="4103"/>
      <c r="H144" s="4103"/>
      <c r="I144" s="4103"/>
      <c r="J144" s="4103"/>
      <c r="K144" s="4103"/>
      <c r="L144" s="4103"/>
      <c r="M144" s="4103"/>
      <c r="N144" s="4103"/>
      <c r="O144" s="128" t="s">
        <v>697</v>
      </c>
      <c r="P144" s="430"/>
      <c r="Q144" s="421"/>
    </row>
    <row r="145" spans="1:44" ht="21.75" customHeight="1">
      <c r="A145" s="110" t="s">
        <v>1957</v>
      </c>
      <c r="B145" s="4103" t="s">
        <v>3707</v>
      </c>
      <c r="C145" s="4103"/>
      <c r="D145" s="4103"/>
      <c r="E145" s="4103"/>
      <c r="F145" s="4103"/>
      <c r="G145" s="4103"/>
      <c r="H145" s="4103"/>
      <c r="I145" s="4103"/>
      <c r="J145" s="4103"/>
      <c r="K145" s="4103"/>
      <c r="L145" s="4103"/>
      <c r="M145" s="4103"/>
      <c r="N145" s="4103"/>
      <c r="O145" s="128" t="s">
        <v>1957</v>
      </c>
      <c r="P145" s="883"/>
      <c r="Q145" s="882"/>
    </row>
    <row r="146" spans="1:44" ht="12" customHeight="1">
      <c r="B146" s="109" t="s">
        <v>3156</v>
      </c>
      <c r="D146" s="109"/>
      <c r="E146" s="109"/>
      <c r="F146" s="109"/>
      <c r="G146" s="109"/>
      <c r="H146" s="33"/>
      <c r="I146" s="878"/>
      <c r="J146" s="878"/>
      <c r="K146" s="878"/>
      <c r="L146" s="674"/>
      <c r="M146" s="674"/>
      <c r="N146" s="674"/>
      <c r="O146" s="674"/>
      <c r="P146" s="674"/>
      <c r="Q146" s="674"/>
    </row>
    <row r="147" spans="1:44" ht="11.65" customHeight="1">
      <c r="A147" s="4117"/>
      <c r="B147" s="4118"/>
      <c r="C147" s="4118"/>
      <c r="D147" s="4118"/>
      <c r="E147" s="4118"/>
      <c r="F147" s="4118"/>
      <c r="G147" s="4118"/>
      <c r="H147" s="4118"/>
      <c r="I147" s="4118"/>
      <c r="J147" s="4118"/>
      <c r="K147" s="4118"/>
      <c r="L147" s="4118"/>
      <c r="M147" s="4118"/>
      <c r="N147" s="4118"/>
      <c r="O147" s="4118"/>
      <c r="P147" s="4118"/>
      <c r="Q147" s="4119"/>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14"/>
      <c r="B149" s="4115"/>
      <c r="C149" s="4115"/>
      <c r="D149" s="4115"/>
      <c r="E149" s="4115"/>
      <c r="F149" s="4115"/>
      <c r="G149" s="4115"/>
      <c r="H149" s="4115"/>
      <c r="I149" s="4115"/>
      <c r="J149" s="4115"/>
      <c r="K149" s="4115"/>
      <c r="L149" s="4115"/>
      <c r="M149" s="4115"/>
      <c r="N149" s="4115"/>
      <c r="O149" s="4115"/>
      <c r="P149" s="4115"/>
      <c r="Q149" s="4116"/>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4" t="s">
        <v>2420</v>
      </c>
      <c r="C151" s="3504"/>
      <c r="D151" s="3504"/>
      <c r="E151" s="236"/>
      <c r="N151" s="845" t="s">
        <v>4426</v>
      </c>
      <c r="O151" s="101" t="s">
        <v>1726</v>
      </c>
      <c r="P151" s="4109"/>
      <c r="Q151" s="4110"/>
      <c r="R151" s="847" t="s">
        <v>4413</v>
      </c>
    </row>
    <row r="152" spans="1:44" customFormat="1" ht="11.65" customHeight="1">
      <c r="B152" s="44" t="s">
        <v>4548</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3709</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3" t="s">
        <v>3151</v>
      </c>
      <c r="D158" s="4103"/>
      <c r="E158" s="4103"/>
      <c r="F158" s="4103"/>
      <c r="G158" s="4103"/>
      <c r="H158" s="4103"/>
      <c r="I158" s="4103"/>
      <c r="J158" s="4103"/>
      <c r="K158" s="4103"/>
      <c r="L158" s="4103"/>
      <c r="M158" s="4103"/>
      <c r="N158" s="4103"/>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3" t="s">
        <v>2413</v>
      </c>
      <c r="D160" s="4103"/>
      <c r="E160" s="4103"/>
      <c r="F160" s="4103"/>
      <c r="G160" s="4103"/>
      <c r="H160" s="4103"/>
      <c r="I160" s="4103"/>
      <c r="J160" s="4103"/>
      <c r="K160" s="4103"/>
      <c r="L160" s="4103"/>
      <c r="M160" s="4103"/>
      <c r="N160" s="4103"/>
      <c r="O160" s="128" t="s">
        <v>1446</v>
      </c>
      <c r="P160" s="430"/>
      <c r="Q160" s="421"/>
    </row>
    <row r="161" spans="1:44" s="102" customFormat="1" ht="21.75" customHeight="1">
      <c r="A161" s="110"/>
      <c r="B161" s="371" t="s">
        <v>1447</v>
      </c>
      <c r="C161" s="4103" t="s">
        <v>3222</v>
      </c>
      <c r="D161" s="4103"/>
      <c r="E161" s="4103"/>
      <c r="F161" s="4103"/>
      <c r="G161" s="4103"/>
      <c r="H161" s="4103"/>
      <c r="I161" s="4103"/>
      <c r="J161" s="4103"/>
      <c r="K161" s="4103"/>
      <c r="L161" s="4103"/>
      <c r="M161" s="4103"/>
      <c r="N161" s="4103"/>
      <c r="O161" s="128" t="s">
        <v>1447</v>
      </c>
      <c r="P161" s="430"/>
      <c r="Q161" s="421"/>
    </row>
    <row r="162" spans="1:44" ht="21.75" customHeight="1">
      <c r="A162" s="110" t="s">
        <v>1957</v>
      </c>
      <c r="B162" s="4103" t="s">
        <v>2414</v>
      </c>
      <c r="C162" s="4103"/>
      <c r="D162" s="4103"/>
      <c r="E162" s="4103"/>
      <c r="F162" s="4103"/>
      <c r="G162" s="4103"/>
      <c r="H162" s="4103"/>
      <c r="I162" s="4103"/>
      <c r="J162" s="4103"/>
      <c r="K162" s="4103"/>
      <c r="L162" s="4103"/>
      <c r="M162" s="4103"/>
      <c r="N162" s="4103"/>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3156</v>
      </c>
      <c r="D164" s="109"/>
      <c r="E164" s="109"/>
      <c r="F164" s="109"/>
      <c r="G164" s="109"/>
      <c r="H164" s="33"/>
      <c r="I164" s="878"/>
      <c r="J164" s="878"/>
      <c r="K164" s="878"/>
      <c r="L164" s="674"/>
      <c r="M164" s="674"/>
      <c r="N164" s="674"/>
      <c r="O164" s="674"/>
      <c r="P164" s="674"/>
      <c r="Q164" s="674"/>
    </row>
    <row r="165" spans="1:44" ht="11.65" customHeight="1">
      <c r="A165" s="4117"/>
      <c r="B165" s="4118"/>
      <c r="C165" s="4118"/>
      <c r="D165" s="4118"/>
      <c r="E165" s="4118"/>
      <c r="F165" s="4118"/>
      <c r="G165" s="4118"/>
      <c r="H165" s="4118"/>
      <c r="I165" s="4118"/>
      <c r="J165" s="4118"/>
      <c r="K165" s="4118"/>
      <c r="L165" s="4118"/>
      <c r="M165" s="4118"/>
      <c r="N165" s="4118"/>
      <c r="O165" s="4118"/>
      <c r="P165" s="4118"/>
      <c r="Q165" s="4119"/>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14"/>
      <c r="B167" s="4115"/>
      <c r="C167" s="4115"/>
      <c r="D167" s="4115"/>
      <c r="E167" s="4115"/>
      <c r="F167" s="4115"/>
      <c r="G167" s="4115"/>
      <c r="H167" s="4115"/>
      <c r="I167" s="4115"/>
      <c r="J167" s="4115"/>
      <c r="K167" s="4115"/>
      <c r="L167" s="4115"/>
      <c r="M167" s="4115"/>
      <c r="N167" s="4115"/>
      <c r="O167" s="4115"/>
      <c r="P167" s="4115"/>
      <c r="Q167" s="4116"/>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4426</v>
      </c>
      <c r="O169" s="101" t="s">
        <v>1726</v>
      </c>
      <c r="P169" s="4109"/>
      <c r="Q169" s="4110"/>
      <c r="R169" s="847" t="s">
        <v>4413</v>
      </c>
    </row>
    <row r="170" spans="1:44" customFormat="1" ht="12.75" customHeight="1">
      <c r="B170" s="44" t="s">
        <v>4548</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30" t="s">
        <v>1705</v>
      </c>
      <c r="K171" s="4131"/>
      <c r="L171" s="4131"/>
      <c r="M171" s="4131"/>
      <c r="N171" s="4132"/>
      <c r="O171" s="49" t="s">
        <v>1611</v>
      </c>
      <c r="P171" s="175"/>
      <c r="Q171" s="418"/>
    </row>
    <row r="172" spans="1:44" ht="12.75" customHeight="1">
      <c r="A172" s="107"/>
      <c r="B172" s="109" t="s">
        <v>3156</v>
      </c>
      <c r="C172" s="82"/>
      <c r="D172" s="82"/>
      <c r="E172" s="82"/>
      <c r="F172" s="82"/>
      <c r="H172" s="49" t="s">
        <v>1612</v>
      </c>
      <c r="I172" s="29" t="s">
        <v>1489</v>
      </c>
      <c r="J172" s="4157" t="s">
        <v>1705</v>
      </c>
      <c r="K172" s="4158"/>
      <c r="L172" s="4158"/>
      <c r="M172" s="4158"/>
      <c r="N172" s="4159"/>
      <c r="O172" s="49" t="s">
        <v>1612</v>
      </c>
      <c r="P172" s="176"/>
      <c r="Q172" s="420"/>
    </row>
    <row r="173" spans="1:44" ht="12.75" customHeight="1">
      <c r="A173" s="4117"/>
      <c r="B173" s="4118"/>
      <c r="C173" s="4118"/>
      <c r="D173" s="4118"/>
      <c r="E173" s="4118"/>
      <c r="F173" s="4118"/>
      <c r="G173" s="4118"/>
      <c r="H173" s="4118"/>
      <c r="I173" s="4118"/>
      <c r="J173" s="4118"/>
      <c r="K173" s="4118"/>
      <c r="L173" s="4118"/>
      <c r="M173" s="4118"/>
      <c r="N173" s="4118"/>
      <c r="O173" s="4118"/>
      <c r="P173" s="4118"/>
      <c r="Q173" s="4119"/>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4"/>
      <c r="B175" s="4115"/>
      <c r="C175" s="4115"/>
      <c r="D175" s="4115"/>
      <c r="E175" s="4115"/>
      <c r="F175" s="4115"/>
      <c r="G175" s="4115"/>
      <c r="H175" s="4115"/>
      <c r="I175" s="4115"/>
      <c r="J175" s="4115"/>
      <c r="K175" s="4115"/>
      <c r="L175" s="4115"/>
      <c r="M175" s="4115"/>
      <c r="N175" s="4115"/>
      <c r="O175" s="4115"/>
      <c r="P175" s="4115"/>
      <c r="Q175" s="4116"/>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4426</v>
      </c>
      <c r="O177" s="101" t="s">
        <v>1726</v>
      </c>
      <c r="P177" s="4109"/>
      <c r="Q177" s="4110"/>
      <c r="R177" s="847" t="s">
        <v>4413</v>
      </c>
    </row>
    <row r="178" spans="1:44" customFormat="1" ht="12.75" customHeight="1">
      <c r="B178" s="44" t="s">
        <v>4548</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3" t="s">
        <v>1708</v>
      </c>
      <c r="C179" s="4103"/>
      <c r="D179" s="4103"/>
      <c r="E179" s="4103"/>
      <c r="F179" s="4103"/>
      <c r="G179" s="4103"/>
      <c r="H179" s="49" t="s">
        <v>1611</v>
      </c>
      <c r="I179" s="29" t="s">
        <v>591</v>
      </c>
      <c r="J179" s="4130" t="s">
        <v>1705</v>
      </c>
      <c r="K179" s="4131"/>
      <c r="L179" s="4131"/>
      <c r="M179" s="4131"/>
      <c r="N179" s="4132"/>
      <c r="O179" s="128" t="s">
        <v>1389</v>
      </c>
      <c r="P179" s="1224"/>
      <c r="Q179" s="1225"/>
    </row>
    <row r="180" spans="1:44" ht="12.75" customHeight="1">
      <c r="A180" s="118"/>
      <c r="B180" s="4103"/>
      <c r="C180" s="4103"/>
      <c r="D180" s="4103"/>
      <c r="E180" s="4103"/>
      <c r="F180" s="4103"/>
      <c r="G180" s="4103"/>
      <c r="H180" s="49" t="s">
        <v>1612</v>
      </c>
      <c r="I180" s="29" t="s">
        <v>110</v>
      </c>
      <c r="J180" s="4157" t="s">
        <v>1705</v>
      </c>
      <c r="K180" s="4158"/>
      <c r="L180" s="4158"/>
      <c r="M180" s="4158"/>
      <c r="N180" s="4159"/>
      <c r="O180" s="128" t="s">
        <v>1612</v>
      </c>
      <c r="P180" s="1669"/>
      <c r="Q180" s="675"/>
    </row>
    <row r="181" spans="1:44" ht="12.75" customHeight="1">
      <c r="A181" s="40" t="s">
        <v>1838</v>
      </c>
      <c r="B181" s="113" t="s">
        <v>1611</v>
      </c>
      <c r="C181" s="29" t="s">
        <v>4400</v>
      </c>
      <c r="E181" s="29"/>
      <c r="F181" s="29"/>
      <c r="G181" s="29"/>
      <c r="H181" s="29"/>
      <c r="I181" s="29"/>
      <c r="J181" s="29"/>
      <c r="K181" s="35"/>
      <c r="L181" s="29"/>
      <c r="M181" s="29"/>
      <c r="O181" s="128" t="s">
        <v>4401</v>
      </c>
      <c r="P181" s="1224"/>
      <c r="Q181" s="1225"/>
    </row>
    <row r="182" spans="1:44" ht="12.75" customHeight="1">
      <c r="A182" s="40"/>
      <c r="B182" s="113" t="s">
        <v>1612</v>
      </c>
      <c r="C182" s="29" t="s">
        <v>4399</v>
      </c>
      <c r="D182" s="29"/>
      <c r="E182" s="29"/>
      <c r="F182" s="29"/>
      <c r="G182" s="29"/>
      <c r="H182" s="29"/>
      <c r="I182" s="29"/>
      <c r="J182" s="29"/>
      <c r="K182" s="35"/>
      <c r="L182" s="29"/>
      <c r="M182" s="29"/>
      <c r="O182" s="128" t="s">
        <v>1612</v>
      </c>
      <c r="P182" s="176"/>
      <c r="Q182" s="420"/>
    </row>
    <row r="183" spans="1:44" ht="12.75" customHeight="1">
      <c r="A183" s="40" t="s">
        <v>697</v>
      </c>
      <c r="B183" s="29" t="s">
        <v>4420</v>
      </c>
      <c r="D183" s="29"/>
      <c r="E183" s="29"/>
      <c r="F183" s="29"/>
      <c r="G183" s="29"/>
      <c r="H183" s="29"/>
      <c r="I183" s="29"/>
      <c r="J183" s="29"/>
      <c r="K183" s="35"/>
      <c r="L183" s="29"/>
      <c r="M183" s="29"/>
      <c r="O183" s="48" t="s">
        <v>697</v>
      </c>
      <c r="P183" s="1337"/>
      <c r="Q183" s="1336"/>
    </row>
    <row r="184" spans="1:44" ht="12.75" customHeight="1">
      <c r="B184" s="109" t="s">
        <v>3156</v>
      </c>
      <c r="D184" s="109"/>
      <c r="E184" s="109"/>
      <c r="F184" s="109"/>
      <c r="G184" s="109"/>
      <c r="H184" s="33"/>
      <c r="I184" s="878"/>
      <c r="J184" s="878"/>
      <c r="K184" s="878"/>
      <c r="L184" s="674"/>
      <c r="M184" s="674"/>
      <c r="N184" s="674"/>
      <c r="O184" s="674"/>
      <c r="P184" s="674"/>
      <c r="Q184" s="674"/>
    </row>
    <row r="185" spans="1:44" ht="12.75" customHeight="1">
      <c r="A185" s="4117"/>
      <c r="B185" s="4118"/>
      <c r="C185" s="4118"/>
      <c r="D185" s="4118"/>
      <c r="E185" s="4118"/>
      <c r="F185" s="4118"/>
      <c r="G185" s="4118"/>
      <c r="H185" s="4118"/>
      <c r="I185" s="4118"/>
      <c r="J185" s="4118"/>
      <c r="K185" s="4118"/>
      <c r="L185" s="4118"/>
      <c r="M185" s="4118"/>
      <c r="N185" s="4118"/>
      <c r="O185" s="4118"/>
      <c r="P185" s="4118"/>
      <c r="Q185" s="4119"/>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4"/>
      <c r="B187" s="4115"/>
      <c r="C187" s="4115"/>
      <c r="D187" s="4115"/>
      <c r="E187" s="4115"/>
      <c r="F187" s="4115"/>
      <c r="G187" s="4115"/>
      <c r="H187" s="4115"/>
      <c r="I187" s="4115"/>
      <c r="J187" s="4115"/>
      <c r="K187" s="4115"/>
      <c r="L187" s="4115"/>
      <c r="M187" s="4115"/>
      <c r="N187" s="4115"/>
      <c r="O187" s="4115"/>
      <c r="P187" s="4115"/>
      <c r="Q187" s="4116"/>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9"/>
      <c r="Q189" s="4110"/>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3898</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30" t="s">
        <v>1641</v>
      </c>
      <c r="L192" s="4132"/>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4609</v>
      </c>
      <c r="E193" s="33"/>
      <c r="F193" s="33"/>
      <c r="G193" s="33"/>
      <c r="H193" s="33"/>
      <c r="I193" s="35"/>
      <c r="J193" s="49" t="s">
        <v>1390</v>
      </c>
      <c r="K193" s="4263" t="s">
        <v>1641</v>
      </c>
      <c r="L193" s="4264"/>
      <c r="Q193" s="427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9" t="s">
        <v>4089</v>
      </c>
      <c r="D194" s="4270"/>
      <c r="E194" s="4270"/>
      <c r="F194" s="4270"/>
      <c r="G194" s="4270"/>
      <c r="H194" s="4270"/>
      <c r="I194" s="4270"/>
      <c r="J194" s="4270"/>
      <c r="K194" s="4270"/>
      <c r="L194" s="4270"/>
      <c r="M194" s="4270"/>
      <c r="N194" s="4270"/>
      <c r="O194" s="4271"/>
      <c r="Q194" s="427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3661</v>
      </c>
      <c r="D195" s="115"/>
      <c r="E195" s="33"/>
      <c r="F195" s="33"/>
      <c r="G195" s="33"/>
      <c r="H195" s="33"/>
      <c r="I195" s="72"/>
      <c r="J195" s="48" t="s">
        <v>1391</v>
      </c>
      <c r="K195" s="4257" t="s">
        <v>1641</v>
      </c>
      <c r="L195" s="4258"/>
      <c r="M195" s="4258"/>
      <c r="N195" s="4259"/>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3728</v>
      </c>
      <c r="D197" s="29"/>
      <c r="E197" s="29"/>
      <c r="F197" s="29"/>
      <c r="G197" s="29"/>
      <c r="H197" s="29"/>
      <c r="I197" s="29"/>
      <c r="J197" s="29"/>
      <c r="K197" s="35"/>
      <c r="L197" s="35"/>
      <c r="M197" s="35"/>
      <c r="N197" s="48" t="s">
        <v>3068</v>
      </c>
      <c r="O197" s="1174" t="e">
        <f>#REF!</f>
        <v>#REF!</v>
      </c>
      <c r="P197" s="4137" t="s">
        <v>3730</v>
      </c>
      <c r="Q197" s="4242"/>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3731</v>
      </c>
      <c r="D198" s="29"/>
      <c r="E198" s="29"/>
      <c r="F198" s="29"/>
      <c r="H198" s="48" t="s">
        <v>3732</v>
      </c>
      <c r="I198" s="29" t="s">
        <v>3741</v>
      </c>
      <c r="M198" s="35"/>
      <c r="N198" s="35"/>
      <c r="O198" s="231"/>
      <c r="P198" s="863" t="s">
        <v>720</v>
      </c>
      <c r="Q198" s="1160" t="s">
        <v>3729</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3" t="s">
        <v>949</v>
      </c>
      <c r="D199" s="4244"/>
      <c r="E199" s="4244"/>
      <c r="F199" s="4244"/>
      <c r="G199" s="4245"/>
      <c r="H199" s="48" t="s">
        <v>1958</v>
      </c>
      <c r="I199" s="4246" t="s">
        <v>3313</v>
      </c>
      <c r="J199" s="4247"/>
      <c r="K199" s="4247"/>
      <c r="L199" s="4247"/>
      <c r="M199" s="4247"/>
      <c r="N199" s="4247"/>
      <c r="O199" s="424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60" t="s">
        <v>949</v>
      </c>
      <c r="D200" s="4261"/>
      <c r="E200" s="4261"/>
      <c r="F200" s="4261"/>
      <c r="G200" s="4262"/>
      <c r="H200" s="48" t="s">
        <v>1959</v>
      </c>
      <c r="I200" s="3033"/>
      <c r="J200" s="2975"/>
      <c r="K200" s="2975"/>
      <c r="L200" s="2975"/>
      <c r="M200" s="2975"/>
      <c r="N200" s="2975"/>
      <c r="O200" s="2976"/>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60" t="s">
        <v>949</v>
      </c>
      <c r="D201" s="4261"/>
      <c r="E201" s="4261"/>
      <c r="F201" s="4261"/>
      <c r="G201" s="4262"/>
      <c r="H201" s="48" t="s">
        <v>1608</v>
      </c>
      <c r="I201" s="3033" t="s">
        <v>3313</v>
      </c>
      <c r="J201" s="2975"/>
      <c r="K201" s="2975"/>
      <c r="L201" s="2975"/>
      <c r="M201" s="2975"/>
      <c r="N201" s="2975"/>
      <c r="O201" s="2976"/>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3740</v>
      </c>
      <c r="C202" s="4196" t="s">
        <v>949</v>
      </c>
      <c r="D202" s="4197"/>
      <c r="E202" s="4197"/>
      <c r="F202" s="4197"/>
      <c r="G202" s="4198"/>
      <c r="H202" s="48" t="s">
        <v>3740</v>
      </c>
      <c r="I202" s="3022"/>
      <c r="J202" s="2972"/>
      <c r="K202" s="2972"/>
      <c r="L202" s="2972"/>
      <c r="M202" s="2972"/>
      <c r="N202" s="2972"/>
      <c r="O202" s="2973"/>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2990</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2497</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4012</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2498</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2499</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3" t="s">
        <v>4634</v>
      </c>
      <c r="D209" s="4103"/>
      <c r="E209" s="4103"/>
      <c r="F209" s="4103"/>
      <c r="G209" s="4103"/>
      <c r="H209" s="4103"/>
      <c r="I209" s="4103"/>
      <c r="J209" s="4103"/>
      <c r="K209" s="4103"/>
      <c r="L209" s="4103"/>
      <c r="M209" s="4103"/>
      <c r="N209" s="4103"/>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3675</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3156</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7"/>
      <c r="B214" s="4118"/>
      <c r="C214" s="4118"/>
      <c r="D214" s="4118"/>
      <c r="E214" s="4118"/>
      <c r="F214" s="4118"/>
      <c r="G214" s="4118"/>
      <c r="H214" s="4118"/>
      <c r="I214" s="4118"/>
      <c r="J214" s="4118"/>
      <c r="K214" s="4118"/>
      <c r="L214" s="4118"/>
      <c r="M214" s="4118"/>
      <c r="N214" s="4118"/>
      <c r="O214" s="4118"/>
      <c r="P214" s="4118"/>
      <c r="Q214" s="4119"/>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4"/>
      <c r="B216" s="4115"/>
      <c r="C216" s="4115"/>
      <c r="D216" s="4115"/>
      <c r="E216" s="4115"/>
      <c r="F216" s="4115"/>
      <c r="G216" s="4115"/>
      <c r="H216" s="4115"/>
      <c r="I216" s="4115"/>
      <c r="J216" s="4115"/>
      <c r="K216" s="4115"/>
      <c r="L216" s="4115"/>
      <c r="M216" s="4115"/>
      <c r="N216" s="4115"/>
      <c r="O216" s="4115"/>
      <c r="P216" s="4115"/>
      <c r="Q216" s="4116"/>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2489</v>
      </c>
      <c r="B217" s="2" t="s">
        <v>4013</v>
      </c>
      <c r="C217" s="33"/>
      <c r="D217" s="874"/>
      <c r="E217" s="874"/>
      <c r="F217" s="874"/>
      <c r="G217" s="874"/>
      <c r="H217" s="874"/>
      <c r="I217" s="874"/>
      <c r="J217" s="874"/>
      <c r="K217" s="395" t="s">
        <v>4630</v>
      </c>
      <c r="L217" s="1263" t="e">
        <f>#REF!</f>
        <v>#REF!</v>
      </c>
      <c r="M217" s="874"/>
      <c r="O217" s="101" t="s">
        <v>1726</v>
      </c>
      <c r="P217" s="4109"/>
      <c r="Q217" s="4110"/>
    </row>
    <row r="218" spans="1:44" ht="11.25" customHeight="1">
      <c r="A218" s="110" t="s">
        <v>1836</v>
      </c>
      <c r="B218" s="108" t="s">
        <v>4016</v>
      </c>
    </row>
    <row r="219" spans="1:44" ht="10.5" customHeight="1">
      <c r="A219" s="110"/>
      <c r="B219" s="29" t="s">
        <v>4018</v>
      </c>
      <c r="C219" s="35"/>
      <c r="D219" s="35"/>
      <c r="E219" s="35"/>
      <c r="F219" s="35"/>
      <c r="G219" s="35"/>
      <c r="H219" s="35"/>
      <c r="I219" s="35"/>
      <c r="J219" s="1431" t="s">
        <v>4017</v>
      </c>
      <c r="K219" s="29" t="s">
        <v>4018</v>
      </c>
      <c r="L219" s="35"/>
      <c r="M219" s="35"/>
      <c r="N219" s="35"/>
      <c r="O219" s="35"/>
      <c r="P219" s="35"/>
      <c r="Q219" s="1431" t="s">
        <v>4017</v>
      </c>
    </row>
    <row r="220" spans="1:44" s="102" customFormat="1" ht="11.25" customHeight="1">
      <c r="B220" s="4246"/>
      <c r="C220" s="4247"/>
      <c r="D220" s="4247"/>
      <c r="E220" s="4247"/>
      <c r="F220" s="4247"/>
      <c r="G220" s="4247"/>
      <c r="H220" s="4247"/>
      <c r="I220" s="4247"/>
      <c r="J220" s="1881"/>
      <c r="K220" s="4246"/>
      <c r="L220" s="4247"/>
      <c r="M220" s="4247"/>
      <c r="N220" s="4247"/>
      <c r="O220" s="4247"/>
      <c r="P220" s="4247"/>
      <c r="Q220" s="1881"/>
    </row>
    <row r="221" spans="1:44" s="102" customFormat="1" ht="11.25" customHeight="1">
      <c r="A221" s="110"/>
      <c r="B221" s="3033"/>
      <c r="C221" s="2975"/>
      <c r="D221" s="2975"/>
      <c r="E221" s="2975"/>
      <c r="F221" s="2975"/>
      <c r="G221" s="2975"/>
      <c r="H221" s="2975"/>
      <c r="I221" s="2975"/>
      <c r="J221" s="1882"/>
      <c r="K221" s="3033"/>
      <c r="L221" s="2975"/>
      <c r="M221" s="2975"/>
      <c r="N221" s="2975"/>
      <c r="O221" s="2975"/>
      <c r="P221" s="2975"/>
      <c r="Q221" s="1882"/>
    </row>
    <row r="222" spans="1:44" s="102" customFormat="1" ht="11.25" customHeight="1">
      <c r="A222" s="110"/>
      <c r="B222" s="3033"/>
      <c r="C222" s="2975"/>
      <c r="D222" s="2975"/>
      <c r="E222" s="2975"/>
      <c r="F222" s="2975"/>
      <c r="G222" s="2975"/>
      <c r="H222" s="2975"/>
      <c r="I222" s="2975"/>
      <c r="J222" s="1882"/>
      <c r="K222" s="3033"/>
      <c r="L222" s="2975"/>
      <c r="M222" s="2975"/>
      <c r="N222" s="2975"/>
      <c r="O222" s="2975"/>
      <c r="P222" s="2975"/>
      <c r="Q222" s="1882"/>
    </row>
    <row r="223" spans="1:44" s="102" customFormat="1" ht="11.25" customHeight="1">
      <c r="A223" s="110"/>
      <c r="B223" s="3033"/>
      <c r="C223" s="2975"/>
      <c r="D223" s="2975"/>
      <c r="E223" s="2975"/>
      <c r="F223" s="2975"/>
      <c r="G223" s="2975"/>
      <c r="H223" s="2975"/>
      <c r="I223" s="2975"/>
      <c r="J223" s="1882"/>
      <c r="K223" s="3033"/>
      <c r="L223" s="2975"/>
      <c r="M223" s="2975"/>
      <c r="N223" s="2975"/>
      <c r="O223" s="2975"/>
      <c r="P223" s="2975"/>
      <c r="Q223" s="1882"/>
    </row>
    <row r="224" spans="1:44" s="102" customFormat="1" ht="11.25" customHeight="1">
      <c r="A224" s="110"/>
      <c r="B224" s="3033"/>
      <c r="C224" s="2975"/>
      <c r="D224" s="2975"/>
      <c r="E224" s="2975"/>
      <c r="F224" s="2975"/>
      <c r="G224" s="2975"/>
      <c r="H224" s="2975"/>
      <c r="I224" s="2975"/>
      <c r="J224" s="1882"/>
      <c r="K224" s="3033"/>
      <c r="L224" s="2975"/>
      <c r="M224" s="2975"/>
      <c r="N224" s="2975"/>
      <c r="O224" s="2975"/>
      <c r="P224" s="2975"/>
      <c r="Q224" s="1882"/>
    </row>
    <row r="225" spans="1:44" s="102" customFormat="1" ht="11.25" customHeight="1">
      <c r="A225" s="110"/>
      <c r="B225" s="3033"/>
      <c r="C225" s="2975"/>
      <c r="D225" s="2975"/>
      <c r="E225" s="2975"/>
      <c r="F225" s="2975"/>
      <c r="G225" s="2975"/>
      <c r="H225" s="2975"/>
      <c r="I225" s="2975"/>
      <c r="J225" s="1882"/>
      <c r="K225" s="3033"/>
      <c r="L225" s="2975"/>
      <c r="M225" s="2975"/>
      <c r="N225" s="2975"/>
      <c r="O225" s="2975"/>
      <c r="P225" s="2975"/>
      <c r="Q225" s="1882"/>
    </row>
    <row r="226" spans="1:44" s="102" customFormat="1" ht="11.25" customHeight="1">
      <c r="A226" s="110"/>
      <c r="B226" s="3033"/>
      <c r="C226" s="2975"/>
      <c r="D226" s="2975"/>
      <c r="E226" s="2975"/>
      <c r="F226" s="2975"/>
      <c r="G226" s="2975"/>
      <c r="H226" s="2975"/>
      <c r="I226" s="2975"/>
      <c r="J226" s="1882"/>
      <c r="K226" s="3033"/>
      <c r="L226" s="2975"/>
      <c r="M226" s="2975"/>
      <c r="N226" s="2975"/>
      <c r="O226" s="2975"/>
      <c r="P226" s="2975"/>
      <c r="Q226" s="1882"/>
    </row>
    <row r="227" spans="1:44" s="102" customFormat="1" ht="11.25" customHeight="1">
      <c r="B227" s="3022"/>
      <c r="C227" s="2972"/>
      <c r="D227" s="2972"/>
      <c r="E227" s="2972"/>
      <c r="F227" s="2972"/>
      <c r="G227" s="2972"/>
      <c r="H227" s="2972"/>
      <c r="I227" s="2972"/>
      <c r="J227" s="1883"/>
      <c r="K227" s="3022"/>
      <c r="L227" s="2972"/>
      <c r="M227" s="2972"/>
      <c r="N227" s="2972"/>
      <c r="O227" s="2972"/>
      <c r="P227" s="2972"/>
      <c r="Q227" s="1883"/>
    </row>
    <row r="228" spans="1:44" ht="12" customHeight="1">
      <c r="A228" s="110" t="s">
        <v>1838</v>
      </c>
      <c r="B228" s="1447" t="s">
        <v>4019</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3" t="s">
        <v>4015</v>
      </c>
      <c r="C229" s="4103"/>
      <c r="D229" s="4103"/>
      <c r="E229" s="4103"/>
      <c r="F229" s="4103"/>
      <c r="G229" s="4103"/>
      <c r="H229" s="4103"/>
      <c r="I229" s="4103"/>
      <c r="J229" s="4103"/>
      <c r="K229" s="4103"/>
      <c r="L229" s="4103"/>
      <c r="M229" s="4103"/>
      <c r="N229" s="4103"/>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4014</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3156</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7"/>
      <c r="B232" s="4118"/>
      <c r="C232" s="4118"/>
      <c r="D232" s="4118"/>
      <c r="E232" s="4118"/>
      <c r="F232" s="4118"/>
      <c r="G232" s="4118"/>
      <c r="H232" s="4118"/>
      <c r="I232" s="4118"/>
      <c r="J232" s="4118"/>
      <c r="K232" s="4118"/>
      <c r="L232" s="4118"/>
      <c r="M232" s="4118"/>
      <c r="N232" s="4118"/>
      <c r="O232" s="4118"/>
      <c r="P232" s="4118"/>
      <c r="Q232" s="4119"/>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4"/>
      <c r="B234" s="4115"/>
      <c r="C234" s="4115"/>
      <c r="D234" s="4115"/>
      <c r="E234" s="4115"/>
      <c r="F234" s="4115"/>
      <c r="G234" s="4115"/>
      <c r="H234" s="4115"/>
      <c r="I234" s="4115"/>
      <c r="J234" s="4115"/>
      <c r="K234" s="4115"/>
      <c r="L234" s="4115"/>
      <c r="M234" s="4115"/>
      <c r="N234" s="4115"/>
      <c r="O234" s="4115"/>
      <c r="P234" s="4115"/>
      <c r="Q234" s="4116"/>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3825</v>
      </c>
      <c r="C236" s="4"/>
      <c r="D236" s="66"/>
      <c r="E236" s="66"/>
      <c r="F236" s="66"/>
      <c r="G236" s="66"/>
      <c r="H236" s="874"/>
      <c r="I236" s="874"/>
      <c r="J236" s="874"/>
      <c r="K236" s="874"/>
      <c r="L236" s="657"/>
      <c r="M236" s="1199"/>
      <c r="O236" s="101" t="s">
        <v>1726</v>
      </c>
      <c r="P236" s="4109"/>
      <c r="Q236" s="4110"/>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4090</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26" t="s">
        <v>1641</v>
      </c>
      <c r="L238" s="4127"/>
      <c r="M238" s="4127"/>
      <c r="N238" s="4127"/>
      <c r="O238" s="4205"/>
      <c r="P238" s="4234" t="s">
        <v>1641</v>
      </c>
      <c r="Q238" s="4235"/>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3" t="s">
        <v>4091</v>
      </c>
      <c r="C239" s="4103"/>
      <c r="D239" s="4103"/>
      <c r="E239" s="4103"/>
      <c r="F239" s="4103"/>
      <c r="G239" s="4103"/>
      <c r="H239" s="4103"/>
      <c r="I239" s="4103"/>
      <c r="J239" s="4103"/>
      <c r="K239" s="4103"/>
      <c r="L239" s="4103"/>
      <c r="M239" s="4103"/>
      <c r="N239" s="4103"/>
      <c r="O239" s="419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2500</v>
      </c>
      <c r="D240" s="29"/>
      <c r="E240" s="29"/>
      <c r="F240" s="29"/>
      <c r="J240" s="48" t="s">
        <v>1838</v>
      </c>
      <c r="K240" s="4192"/>
      <c r="L240" s="4193"/>
      <c r="M240" s="4193"/>
      <c r="N240" s="4193"/>
      <c r="O240" s="4194"/>
      <c r="P240" s="4188"/>
      <c r="Q240" s="4189"/>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7"/>
      <c r="L241" s="4158"/>
      <c r="M241" s="4158"/>
      <c r="N241" s="4158"/>
      <c r="O241" s="4159"/>
      <c r="P241" s="4190"/>
      <c r="Q241" s="4191"/>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4092</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3" t="s">
        <v>4102</v>
      </c>
      <c r="D243" s="4103"/>
      <c r="E243" s="4103"/>
      <c r="F243" s="4103"/>
      <c r="G243" s="4103"/>
      <c r="H243" s="4103"/>
      <c r="I243" s="4103"/>
      <c r="J243" s="4103"/>
      <c r="K243" s="4103"/>
      <c r="L243" s="4103"/>
      <c r="M243" s="4103"/>
      <c r="N243" s="4103"/>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3" t="s">
        <v>4103</v>
      </c>
      <c r="D244" s="4103"/>
      <c r="E244" s="4103"/>
      <c r="F244" s="4103"/>
      <c r="G244" s="4103"/>
      <c r="H244" s="4103"/>
      <c r="I244" s="4103"/>
      <c r="J244" s="4103"/>
      <c r="K244" s="4103"/>
      <c r="L244" s="4103"/>
      <c r="M244" s="4103"/>
      <c r="N244" s="4103"/>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3224</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3" t="s">
        <v>3161</v>
      </c>
      <c r="C246" s="4133"/>
      <c r="D246" s="4133"/>
      <c r="E246" s="44" t="s">
        <v>3294</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3"/>
      <c r="C247" s="4133"/>
      <c r="D247" s="4133"/>
      <c r="E247" s="44" t="s">
        <v>3295</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3"/>
      <c r="C248" s="4133"/>
      <c r="D248" s="4133"/>
      <c r="E248" s="44" t="s">
        <v>3296</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3"/>
      <c r="C249" s="4133"/>
      <c r="D249" s="4133"/>
      <c r="E249" s="44" t="s">
        <v>3297</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3" t="s">
        <v>4398</v>
      </c>
      <c r="F250" s="4103"/>
      <c r="G250" s="4103"/>
      <c r="H250" s="4103"/>
      <c r="I250" s="4103"/>
      <c r="J250" s="4103"/>
      <c r="K250" s="4103"/>
      <c r="L250" s="4103"/>
      <c r="M250" s="4103"/>
      <c r="N250" s="4103"/>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3156</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7"/>
      <c r="B252" s="4118"/>
      <c r="C252" s="4118"/>
      <c r="D252" s="4118"/>
      <c r="E252" s="4118"/>
      <c r="F252" s="4118"/>
      <c r="G252" s="4118"/>
      <c r="H252" s="4118"/>
      <c r="I252" s="4118"/>
      <c r="J252" s="4118"/>
      <c r="K252" s="4118"/>
      <c r="L252" s="4118"/>
      <c r="M252" s="4118"/>
      <c r="N252" s="4118"/>
      <c r="O252" s="4118"/>
      <c r="P252" s="4118"/>
      <c r="Q252" s="4119"/>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4"/>
      <c r="B254" s="4115"/>
      <c r="C254" s="4115"/>
      <c r="D254" s="4115"/>
      <c r="E254" s="4115"/>
      <c r="F254" s="4115"/>
      <c r="G254" s="4115"/>
      <c r="H254" s="4115"/>
      <c r="I254" s="4115"/>
      <c r="J254" s="4115"/>
      <c r="K254" s="4115"/>
      <c r="L254" s="4115"/>
      <c r="M254" s="4115"/>
      <c r="N254" s="4115"/>
      <c r="O254" s="4115"/>
      <c r="P254" s="4115"/>
      <c r="Q254" s="4116"/>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3282</v>
      </c>
      <c r="B256" s="4" t="s">
        <v>2424</v>
      </c>
      <c r="C256" s="4"/>
      <c r="D256" s="66"/>
      <c r="E256" s="66"/>
      <c r="F256" s="66"/>
      <c r="G256" s="66"/>
      <c r="H256" s="874"/>
      <c r="I256" s="874"/>
      <c r="J256" s="874"/>
      <c r="K256" s="874"/>
      <c r="L256" s="874"/>
      <c r="M256" s="874"/>
      <c r="O256" s="101" t="s">
        <v>1726</v>
      </c>
      <c r="P256" s="4109"/>
      <c r="Q256" s="4110"/>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3" t="s">
        <v>3900</v>
      </c>
      <c r="D257" s="4103"/>
      <c r="E257" s="4103"/>
      <c r="F257" s="4103"/>
      <c r="G257" s="4103"/>
      <c r="H257" s="4103"/>
      <c r="I257" s="4103"/>
      <c r="J257" s="4103"/>
      <c r="K257" s="4103"/>
      <c r="L257" s="4103"/>
      <c r="M257" s="4103"/>
      <c r="N257" s="4103"/>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3158</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3159</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3" t="s">
        <v>3925</v>
      </c>
      <c r="D260" s="4103"/>
      <c r="E260" s="4103"/>
      <c r="F260" s="4103"/>
      <c r="G260" s="4103"/>
      <c r="H260" s="4103"/>
      <c r="I260" s="4103"/>
      <c r="J260" s="4103"/>
      <c r="K260" s="4103"/>
      <c r="L260" s="4103"/>
      <c r="M260" s="4103"/>
      <c r="N260" s="4103"/>
      <c r="O260" s="1341" t="s">
        <v>3926</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3160</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3" t="s">
        <v>4020</v>
      </c>
      <c r="C262" s="4103"/>
      <c r="D262" s="4103"/>
      <c r="E262" s="4103"/>
      <c r="F262" s="4103"/>
      <c r="G262" s="4103"/>
      <c r="H262" s="4103"/>
      <c r="I262" s="4103"/>
      <c r="J262" s="4103"/>
      <c r="K262" s="4103"/>
      <c r="L262" s="4103"/>
      <c r="M262" s="4103"/>
      <c r="N262" s="4103"/>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3156</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7"/>
      <c r="B264" s="4118"/>
      <c r="C264" s="4118"/>
      <c r="D264" s="4118"/>
      <c r="E264" s="4118"/>
      <c r="F264" s="4118"/>
      <c r="G264" s="4118"/>
      <c r="H264" s="4118"/>
      <c r="I264" s="4118"/>
      <c r="J264" s="4118"/>
      <c r="K264" s="4118"/>
      <c r="L264" s="4118"/>
      <c r="M264" s="4118"/>
      <c r="N264" s="4118"/>
      <c r="O264" s="4118"/>
      <c r="P264" s="4118"/>
      <c r="Q264" s="4119"/>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4"/>
      <c r="B266" s="4115"/>
      <c r="C266" s="4115"/>
      <c r="D266" s="4115"/>
      <c r="E266" s="4115"/>
      <c r="F266" s="4115"/>
      <c r="G266" s="4115"/>
      <c r="H266" s="4115"/>
      <c r="I266" s="4115"/>
      <c r="J266" s="4115"/>
      <c r="K266" s="4115"/>
      <c r="L266" s="4115"/>
      <c r="M266" s="4115"/>
      <c r="N266" s="4115"/>
      <c r="O266" s="4115"/>
      <c r="P266" s="4115"/>
      <c r="Q266" s="4116"/>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3283</v>
      </c>
      <c r="B268" s="2" t="s">
        <v>2425</v>
      </c>
      <c r="C268" s="2"/>
      <c r="D268" s="874"/>
      <c r="E268" s="874"/>
      <c r="F268" s="874"/>
      <c r="G268" s="874"/>
      <c r="H268" s="874"/>
      <c r="I268" s="874"/>
      <c r="J268" s="874"/>
      <c r="K268" s="874"/>
      <c r="L268" s="874"/>
      <c r="M268" s="874"/>
      <c r="O268" s="101" t="s">
        <v>1726</v>
      </c>
      <c r="P268" s="4109"/>
      <c r="Q268" s="4110"/>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4090</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4094</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3" t="s">
        <v>3722</v>
      </c>
      <c r="D271" s="4103"/>
      <c r="E271" s="4103"/>
      <c r="F271" s="4103"/>
      <c r="G271" s="4103"/>
      <c r="H271" s="4103"/>
      <c r="I271" s="4103"/>
      <c r="J271" s="4103"/>
      <c r="K271" s="4103"/>
      <c r="L271" s="4103"/>
      <c r="M271" s="4103"/>
      <c r="N271" s="4103"/>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3" t="s">
        <v>2501</v>
      </c>
      <c r="D272" s="4103"/>
      <c r="E272" s="4103"/>
      <c r="F272" s="4103"/>
      <c r="G272" s="4103"/>
      <c r="H272" s="4103"/>
      <c r="I272" s="4103"/>
      <c r="J272" s="4103"/>
      <c r="K272" s="4103"/>
      <c r="L272" s="4103"/>
      <c r="M272" s="4103"/>
      <c r="N272" s="4103"/>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4" t="s">
        <v>3249</v>
      </c>
      <c r="M273" s="4135"/>
      <c r="N273" s="4135"/>
      <c r="O273" s="4135"/>
      <c r="P273" s="4136"/>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4093</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4095</v>
      </c>
      <c r="C275" s="115"/>
      <c r="D275" s="72"/>
      <c r="E275" s="72"/>
      <c r="F275" s="115"/>
      <c r="H275" s="115"/>
      <c r="I275" s="115"/>
      <c r="N275" s="1712" t="s">
        <v>4096</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3156</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7"/>
      <c r="B277" s="4118"/>
      <c r="C277" s="4118"/>
      <c r="D277" s="4118"/>
      <c r="E277" s="4118"/>
      <c r="F277" s="4118"/>
      <c r="G277" s="4118"/>
      <c r="H277" s="4118"/>
      <c r="I277" s="4118"/>
      <c r="J277" s="4118"/>
      <c r="K277" s="4118"/>
      <c r="L277" s="4118"/>
      <c r="M277" s="4118"/>
      <c r="N277" s="4118"/>
      <c r="O277" s="4118"/>
      <c r="P277" s="4118"/>
      <c r="Q277" s="4119"/>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4"/>
      <c r="B279" s="4115"/>
      <c r="C279" s="4115"/>
      <c r="D279" s="4115"/>
      <c r="E279" s="4115"/>
      <c r="F279" s="4115"/>
      <c r="G279" s="4115"/>
      <c r="H279" s="4115"/>
      <c r="I279" s="4115"/>
      <c r="J279" s="4115"/>
      <c r="K279" s="4115"/>
      <c r="L279" s="4115"/>
      <c r="M279" s="4115"/>
      <c r="N279" s="4115"/>
      <c r="O279" s="4115"/>
      <c r="P279" s="4115"/>
      <c r="Q279" s="4116"/>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3281</v>
      </c>
      <c r="B281" s="2" t="s">
        <v>2426</v>
      </c>
      <c r="C281" s="116"/>
      <c r="D281" s="877"/>
      <c r="E281" s="874"/>
      <c r="F281" s="874"/>
      <c r="G281" s="874"/>
      <c r="H281" s="874"/>
      <c r="I281" s="874"/>
      <c r="J281" s="874"/>
      <c r="K281" s="874"/>
      <c r="L281" s="874"/>
      <c r="M281" s="874"/>
      <c r="O281" s="101" t="s">
        <v>1726</v>
      </c>
      <c r="P281" s="4109"/>
      <c r="Q281" s="4110"/>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4090</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3298</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3" t="s">
        <v>4549</v>
      </c>
      <c r="D284" s="4103"/>
      <c r="E284" s="4103"/>
      <c r="F284" s="4103"/>
      <c r="G284" s="4103"/>
      <c r="H284" s="4103"/>
      <c r="I284" s="4103"/>
      <c r="J284" s="4103"/>
      <c r="K284" s="4103"/>
      <c r="L284" s="4103"/>
      <c r="M284" s="4103"/>
      <c r="N284" s="4103"/>
      <c r="O284" s="128" t="s">
        <v>2464</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3" t="s">
        <v>4550</v>
      </c>
      <c r="D285" s="4103"/>
      <c r="E285" s="4103"/>
      <c r="F285" s="4103"/>
      <c r="G285" s="4103"/>
      <c r="H285" s="4103"/>
      <c r="I285" s="4103"/>
      <c r="J285" s="4103"/>
      <c r="K285" s="4103"/>
      <c r="L285" s="4103"/>
      <c r="M285" s="4103"/>
      <c r="N285" s="4103"/>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3" t="s">
        <v>4097</v>
      </c>
      <c r="D286" s="4103"/>
      <c r="E286" s="4103"/>
      <c r="F286" s="4103"/>
      <c r="G286" s="4103"/>
      <c r="H286" s="4103"/>
      <c r="I286" s="4103"/>
      <c r="J286" s="4103"/>
      <c r="K286" s="4103"/>
      <c r="L286" s="4103"/>
      <c r="M286" s="4103"/>
      <c r="N286" s="4103"/>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3209</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3" t="s">
        <v>4100</v>
      </c>
      <c r="E288" s="4103"/>
      <c r="F288" s="4103"/>
      <c r="G288" s="4103"/>
      <c r="H288" s="4103"/>
      <c r="I288" s="108"/>
      <c r="J288" s="4111" t="s">
        <v>3182</v>
      </c>
      <c r="K288" s="4137"/>
      <c r="L288" s="4137"/>
      <c r="M288" s="4241" t="s">
        <v>3163</v>
      </c>
      <c r="N288" s="4241"/>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3"/>
      <c r="E289" s="4103"/>
      <c r="F289" s="4103"/>
      <c r="G289" s="4103"/>
      <c r="H289" s="4103"/>
      <c r="I289" s="248"/>
      <c r="J289" s="4137"/>
      <c r="K289" s="4137"/>
      <c r="L289" s="4137"/>
      <c r="M289" s="29" t="s">
        <v>3164</v>
      </c>
      <c r="N289" s="878" t="s">
        <v>3181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3"/>
      <c r="E290" s="4103"/>
      <c r="F290" s="4103"/>
      <c r="G290" s="4103"/>
      <c r="H290" s="4103"/>
      <c r="I290" s="29" t="s">
        <v>3299</v>
      </c>
      <c r="K290" s="1507"/>
      <c r="L290" s="782" t="e">
        <f>IF(K290&lt;M290,"Check!!!","")</f>
        <v>#REF!</v>
      </c>
      <c r="M290" s="1509" t="e">
        <f>ROUNDUP(#REF!*'Part VII-Threshold Criteria OLD'!N290,0)</f>
        <v>#REF!</v>
      </c>
      <c r="N290" s="1146" t="e">
        <f>#REF!</f>
        <v>#REF!</v>
      </c>
      <c r="O290" s="48" t="s">
        <v>3083</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3" t="s">
        <v>4101</v>
      </c>
      <c r="E291" s="4103"/>
      <c r="F291" s="4103"/>
      <c r="G291" s="4103"/>
      <c r="H291" s="4103"/>
      <c r="I291" s="369" t="s">
        <v>3300</v>
      </c>
      <c r="J291" s="144"/>
      <c r="K291" s="1508"/>
      <c r="L291" s="782" t="e">
        <f>IF(K291&lt;M291,"Check!!!","")</f>
        <v>#REF!</v>
      </c>
      <c r="M291" s="1510" t="e">
        <f>ROUNDUP(K290*'Part VII-Threshold Criteria OLD'!N291,0)</f>
        <v>#REF!</v>
      </c>
      <c r="N291" s="1146" t="e">
        <f>#REF!</f>
        <v>#REF!</v>
      </c>
      <c r="O291" s="48" t="s">
        <v>1959</v>
      </c>
      <c r="P291" s="4140"/>
      <c r="Q291" s="4138"/>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3"/>
      <c r="E292" s="4103"/>
      <c r="F292" s="4103"/>
      <c r="G292" s="4103"/>
      <c r="H292" s="4103"/>
      <c r="O292" s="33"/>
      <c r="P292" s="4141"/>
      <c r="Q292" s="4139"/>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3" t="s">
        <v>4631</v>
      </c>
      <c r="D293" s="4103"/>
      <c r="E293" s="4103"/>
      <c r="F293" s="4103"/>
      <c r="G293" s="4103"/>
      <c r="H293" s="4103"/>
      <c r="I293" s="29" t="s">
        <v>3301</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3"/>
      <c r="D294" s="4103"/>
      <c r="E294" s="4103"/>
      <c r="F294" s="4103"/>
      <c r="G294" s="4103"/>
      <c r="H294" s="4103"/>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3"/>
      <c r="D295" s="4103"/>
      <c r="E295" s="4103"/>
      <c r="F295" s="4103"/>
      <c r="G295" s="4103"/>
      <c r="H295" s="4103"/>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3210</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3" t="s">
        <v>4610</v>
      </c>
      <c r="C297" s="4103"/>
      <c r="D297" s="4103"/>
      <c r="E297" s="4103"/>
      <c r="F297" s="4103"/>
      <c r="G297" s="4103"/>
      <c r="H297" s="4103"/>
      <c r="I297" s="4103"/>
      <c r="J297" s="4103"/>
      <c r="K297" s="4103"/>
      <c r="L297" s="4103"/>
      <c r="M297" s="4103"/>
      <c r="N297" s="4103"/>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3084</v>
      </c>
      <c r="D298" s="108"/>
      <c r="E298" s="108"/>
      <c r="F298" s="108"/>
      <c r="G298" s="108"/>
      <c r="H298" s="108"/>
      <c r="I298" s="108" t="s">
        <v>3162</v>
      </c>
      <c r="J298" s="108"/>
      <c r="K298" s="108"/>
      <c r="L298" s="4185"/>
      <c r="M298" s="4186"/>
      <c r="N298" s="4186"/>
      <c r="O298" s="4186"/>
      <c r="P298" s="4186"/>
      <c r="Q298" s="4187"/>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3" t="s">
        <v>4551</v>
      </c>
      <c r="D299" s="4103"/>
      <c r="E299" s="4103"/>
      <c r="F299" s="4103"/>
      <c r="G299" s="4103"/>
      <c r="H299" s="4103"/>
      <c r="I299" s="4103"/>
      <c r="J299" s="4103"/>
      <c r="K299" s="4103"/>
      <c r="L299" s="4103"/>
      <c r="M299" s="4103"/>
      <c r="N299" s="4103"/>
      <c r="O299" s="128" t="s">
        <v>3087</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3" t="s">
        <v>3708</v>
      </c>
      <c r="D300" s="4103"/>
      <c r="E300" s="4103"/>
      <c r="F300" s="4103"/>
      <c r="G300" s="4103"/>
      <c r="H300" s="4103"/>
      <c r="I300" s="4103"/>
      <c r="J300" s="4103"/>
      <c r="K300" s="4103"/>
      <c r="L300" s="4103"/>
      <c r="M300" s="4103"/>
      <c r="N300" s="4103"/>
      <c r="O300" s="128" t="s">
        <v>3088</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3" t="s">
        <v>3085</v>
      </c>
      <c r="D301" s="4103"/>
      <c r="E301" s="4103"/>
      <c r="F301" s="4103"/>
      <c r="G301" s="4103"/>
      <c r="H301" s="4103"/>
      <c r="I301" s="4103"/>
      <c r="J301" s="4103"/>
      <c r="K301" s="4103"/>
      <c r="L301" s="4103"/>
      <c r="M301" s="4103"/>
      <c r="N301" s="4103"/>
      <c r="O301" s="128" t="s">
        <v>3089</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3" t="s">
        <v>3086</v>
      </c>
      <c r="D302" s="4103"/>
      <c r="E302" s="4103"/>
      <c r="F302" s="4103"/>
      <c r="G302" s="4103"/>
      <c r="H302" s="4103"/>
      <c r="I302" s="4103"/>
      <c r="J302" s="4103"/>
      <c r="K302" s="4103"/>
      <c r="L302" s="4103"/>
      <c r="M302" s="4103"/>
      <c r="N302" s="4103"/>
      <c r="O302" s="128" t="s">
        <v>3090</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3156</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7"/>
      <c r="B304" s="4118"/>
      <c r="C304" s="4118"/>
      <c r="D304" s="4118"/>
      <c r="E304" s="4118"/>
      <c r="F304" s="4118"/>
      <c r="G304" s="4118"/>
      <c r="H304" s="4118"/>
      <c r="I304" s="4118"/>
      <c r="J304" s="4118"/>
      <c r="K304" s="4118"/>
      <c r="L304" s="4118"/>
      <c r="M304" s="4118"/>
      <c r="N304" s="4118"/>
      <c r="O304" s="4118"/>
      <c r="P304" s="4118"/>
      <c r="Q304" s="4119"/>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2"/>
      <c r="B306" s="4143"/>
      <c r="C306" s="4143"/>
      <c r="D306" s="4143"/>
      <c r="E306" s="4143"/>
      <c r="F306" s="4143"/>
      <c r="G306" s="4143"/>
      <c r="H306" s="4143"/>
      <c r="I306" s="4143"/>
      <c r="J306" s="4143"/>
      <c r="K306" s="4143"/>
      <c r="L306" s="4143"/>
      <c r="M306" s="4143"/>
      <c r="N306" s="4143"/>
      <c r="O306" s="4143"/>
      <c r="P306" s="4143"/>
      <c r="Q306" s="4144"/>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3284</v>
      </c>
      <c r="B307" s="4" t="s">
        <v>2427</v>
      </c>
      <c r="C307" s="4"/>
      <c r="D307" s="4"/>
      <c r="E307" s="4"/>
      <c r="F307" s="4"/>
      <c r="G307" s="4"/>
      <c r="H307" s="874"/>
      <c r="I307" s="874"/>
      <c r="J307" s="874"/>
      <c r="K307" s="874"/>
      <c r="L307" s="874"/>
      <c r="M307" s="874"/>
      <c r="O307" s="101" t="s">
        <v>1726</v>
      </c>
      <c r="P307" s="4236"/>
      <c r="Q307" s="4237"/>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3662</v>
      </c>
      <c r="E310" s="33"/>
      <c r="F310" s="33"/>
      <c r="G310" s="33"/>
      <c r="H310" s="33"/>
      <c r="I310" s="72"/>
      <c r="J310" s="48"/>
      <c r="K310" s="4126" t="s">
        <v>1641</v>
      </c>
      <c r="L310" s="4127"/>
      <c r="M310" s="4127"/>
      <c r="N310" s="4205"/>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4560</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3" t="s">
        <v>4559</v>
      </c>
      <c r="C312" s="4103"/>
      <c r="D312" s="4103"/>
      <c r="E312" s="4103"/>
      <c r="F312" s="4103"/>
      <c r="G312" s="4103"/>
      <c r="H312" s="4103"/>
      <c r="I312" s="4103"/>
      <c r="J312" s="4103"/>
      <c r="K312" s="4103"/>
      <c r="L312" s="4103"/>
      <c r="M312" s="4103"/>
      <c r="N312" s="4103"/>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5" t="s">
        <v>2141</v>
      </c>
      <c r="H314" s="4176"/>
      <c r="I314" s="4176"/>
      <c r="J314" s="4176"/>
      <c r="K314" s="4176"/>
      <c r="L314" s="4176"/>
      <c r="M314" s="4176"/>
      <c r="N314" s="4177"/>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2465</v>
      </c>
    </row>
    <row r="315" spans="1:256 1523:1523" ht="23.25" customHeight="1">
      <c r="B315" s="371" t="s">
        <v>1612</v>
      </c>
      <c r="C315" s="4103" t="s">
        <v>1065</v>
      </c>
      <c r="D315" s="4103"/>
      <c r="E315" s="4103"/>
      <c r="F315" s="4195"/>
      <c r="G315" s="3022" t="s">
        <v>1017</v>
      </c>
      <c r="H315" s="4199"/>
      <c r="I315" s="4199"/>
      <c r="J315" s="4199"/>
      <c r="K315" s="4199"/>
      <c r="L315" s="4199"/>
      <c r="M315" s="4199"/>
      <c r="N315" s="4200"/>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4021</v>
      </c>
      <c r="D317" s="1452"/>
      <c r="E317" s="1452"/>
      <c r="F317" s="1452"/>
      <c r="G317" s="4129" t="s">
        <v>4022</v>
      </c>
      <c r="H317" s="4129"/>
      <c r="I317" s="4129"/>
      <c r="J317" s="4129"/>
      <c r="K317" s="4129"/>
      <c r="L317" s="4129"/>
      <c r="M317" s="4129"/>
      <c r="N317" s="4129"/>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2"/>
      <c r="D318" s="4183"/>
      <c r="E318" s="4183"/>
      <c r="F318" s="4183"/>
      <c r="G318" s="4183"/>
      <c r="H318" s="4183"/>
      <c r="I318" s="4183"/>
      <c r="J318" s="4183"/>
      <c r="K318" s="4183"/>
      <c r="L318" s="4183"/>
      <c r="M318" s="4183"/>
      <c r="N318" s="4184"/>
      <c r="O318" s="128" t="s">
        <v>4197</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6"/>
      <c r="D319" s="4197"/>
      <c r="E319" s="4197"/>
      <c r="F319" s="4197"/>
      <c r="G319" s="4197"/>
      <c r="H319" s="4197"/>
      <c r="I319" s="4197"/>
      <c r="J319" s="4197"/>
      <c r="K319" s="4197"/>
      <c r="L319" s="4197"/>
      <c r="M319" s="4197"/>
      <c r="N319" s="4198"/>
      <c r="O319" s="128" t="s">
        <v>4198</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3" t="s">
        <v>4023</v>
      </c>
      <c r="C320" s="4103"/>
      <c r="D320" s="4103"/>
      <c r="E320" s="4103"/>
      <c r="F320" s="4103"/>
      <c r="G320" s="4103"/>
      <c r="H320" s="4103"/>
      <c r="I320" s="4103"/>
      <c r="J320" s="4103"/>
      <c r="K320" s="4103"/>
      <c r="L320" s="4103"/>
      <c r="M320" s="4103"/>
      <c r="N320" s="4103"/>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3156</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17"/>
      <c r="B323" s="4118"/>
      <c r="C323" s="4118"/>
      <c r="D323" s="4118"/>
      <c r="E323" s="4118"/>
      <c r="F323" s="4118"/>
      <c r="G323" s="4118"/>
      <c r="H323" s="4118"/>
      <c r="I323" s="4118"/>
      <c r="J323" s="4118"/>
      <c r="K323" s="4118"/>
      <c r="L323" s="4118"/>
      <c r="M323" s="4118"/>
      <c r="N323" s="4118"/>
      <c r="O323" s="4118"/>
      <c r="P323" s="4118"/>
      <c r="Q323" s="4119"/>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14"/>
      <c r="B325" s="4115"/>
      <c r="C325" s="4115"/>
      <c r="D325" s="4115"/>
      <c r="E325" s="4115"/>
      <c r="F325" s="4115"/>
      <c r="G325" s="4115"/>
      <c r="H325" s="4115"/>
      <c r="I325" s="4115"/>
      <c r="J325" s="4115"/>
      <c r="K325" s="4115"/>
      <c r="L325" s="4115"/>
      <c r="M325" s="4115"/>
      <c r="N325" s="4115"/>
      <c r="O325" s="4115"/>
      <c r="P325" s="4115"/>
      <c r="Q325" s="4116"/>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3285</v>
      </c>
      <c r="B326" s="153" t="s">
        <v>4427</v>
      </c>
      <c r="C326" s="2"/>
      <c r="D326" s="874"/>
      <c r="E326" s="874"/>
      <c r="F326" s="874"/>
      <c r="G326" s="874"/>
      <c r="H326" s="874"/>
      <c r="N326" s="845" t="s">
        <v>4426</v>
      </c>
      <c r="O326" s="101" t="s">
        <v>1726</v>
      </c>
      <c r="P326" s="4109"/>
      <c r="Q326" s="4110"/>
      <c r="R326" s="847" t="s">
        <v>4413</v>
      </c>
    </row>
    <row r="327" spans="1:256" ht="11.65" customHeight="1">
      <c r="A327" s="40" t="s">
        <v>1836</v>
      </c>
      <c r="B327" s="44" t="s">
        <v>4422</v>
      </c>
      <c r="O327" s="128" t="s">
        <v>1836</v>
      </c>
      <c r="P327" s="175"/>
      <c r="Q327" s="418"/>
    </row>
    <row r="328" spans="1:256" ht="11.65" customHeight="1">
      <c r="A328" s="110" t="s">
        <v>1838</v>
      </c>
      <c r="B328" s="44" t="s">
        <v>4429</v>
      </c>
      <c r="O328" s="128" t="s">
        <v>1838</v>
      </c>
      <c r="P328" s="1669"/>
      <c r="Q328" s="675"/>
    </row>
    <row r="329" spans="1:256" ht="11.65" customHeight="1">
      <c r="A329" s="110" t="s">
        <v>697</v>
      </c>
      <c r="B329" s="44" t="s">
        <v>4430</v>
      </c>
      <c r="K329" s="231"/>
      <c r="M329" s="128" t="s">
        <v>697</v>
      </c>
      <c r="N329" s="4178" t="s">
        <v>1641</v>
      </c>
      <c r="O329" s="4179"/>
      <c r="P329" s="4180" t="s">
        <v>1641</v>
      </c>
      <c r="Q329" s="4181"/>
    </row>
    <row r="330" spans="1:256" ht="11.65" customHeight="1">
      <c r="A330" s="40" t="s">
        <v>1957</v>
      </c>
      <c r="B330" s="44" t="s">
        <v>4431</v>
      </c>
      <c r="O330" s="48" t="s">
        <v>1957</v>
      </c>
      <c r="P330" s="1337"/>
      <c r="Q330" s="1336"/>
    </row>
    <row r="331" spans="1:256" ht="11.65" customHeight="1">
      <c r="A331" s="110" t="s">
        <v>1609</v>
      </c>
      <c r="B331" s="44" t="s">
        <v>4432</v>
      </c>
      <c r="N331" s="128" t="s">
        <v>1609</v>
      </c>
      <c r="O331" s="4172" t="s">
        <v>2553</v>
      </c>
      <c r="P331" s="4173"/>
      <c r="Q331" s="4174"/>
    </row>
    <row r="332" spans="1:256" ht="11.65" customHeight="1">
      <c r="A332" s="110" t="s">
        <v>1610</v>
      </c>
      <c r="B332" s="67" t="s">
        <v>2164</v>
      </c>
      <c r="N332" s="128" t="s">
        <v>1610</v>
      </c>
      <c r="O332" s="4238" t="s">
        <v>2553</v>
      </c>
      <c r="P332" s="4239"/>
      <c r="Q332" s="4240"/>
    </row>
    <row r="333" spans="1:256" ht="11.25" customHeight="1">
      <c r="B333" s="109" t="s">
        <v>3156</v>
      </c>
      <c r="D333" s="109"/>
      <c r="E333" s="109"/>
      <c r="F333" s="109"/>
      <c r="G333" s="109"/>
      <c r="H333" s="33"/>
      <c r="I333" s="878"/>
      <c r="J333" s="878"/>
      <c r="K333" s="878"/>
      <c r="L333" s="674"/>
      <c r="M333" s="674"/>
      <c r="N333" s="674"/>
      <c r="O333" s="674"/>
      <c r="P333" s="674"/>
      <c r="Q333" s="674"/>
    </row>
    <row r="334" spans="1:256" ht="13.35" customHeight="1">
      <c r="A334" s="4117"/>
      <c r="B334" s="4118"/>
      <c r="C334" s="4118"/>
      <c r="D334" s="4118"/>
      <c r="E334" s="4118"/>
      <c r="F334" s="4118"/>
      <c r="G334" s="4118"/>
      <c r="H334" s="4118"/>
      <c r="I334" s="4118"/>
      <c r="J334" s="4118"/>
      <c r="K334" s="4118"/>
      <c r="L334" s="4118"/>
      <c r="M334" s="4118"/>
      <c r="N334" s="4118"/>
      <c r="O334" s="4118"/>
      <c r="P334" s="4118"/>
      <c r="Q334" s="4119"/>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4"/>
      <c r="B336" s="4115"/>
      <c r="C336" s="4115"/>
      <c r="D336" s="4115"/>
      <c r="E336" s="4115"/>
      <c r="F336" s="4115"/>
      <c r="G336" s="4115"/>
      <c r="H336" s="4115"/>
      <c r="I336" s="4115"/>
      <c r="J336" s="4115"/>
      <c r="K336" s="4115"/>
      <c r="L336" s="4115"/>
      <c r="M336" s="4115"/>
      <c r="N336" s="4115"/>
      <c r="O336" s="4115"/>
      <c r="P336" s="4115"/>
      <c r="Q336" s="4116"/>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3288</v>
      </c>
      <c r="B338" s="4" t="s">
        <v>4433</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3"/>
      <c r="Q338" s="4124"/>
    </row>
    <row r="339" spans="1:44" ht="14.1" customHeight="1">
      <c r="A339" s="2"/>
      <c r="B339" s="29" t="s">
        <v>4434</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4435</v>
      </c>
      <c r="C340" s="4"/>
      <c r="D340" s="4"/>
      <c r="E340" s="4"/>
      <c r="F340" s="4"/>
      <c r="G340" s="4"/>
      <c r="H340" s="874"/>
      <c r="I340" s="874"/>
      <c r="J340" s="874"/>
      <c r="K340" s="874"/>
      <c r="L340" s="874"/>
      <c r="M340" s="874"/>
      <c r="N340" s="395"/>
      <c r="O340" s="101"/>
      <c r="P340" s="372"/>
      <c r="Q340" s="417"/>
    </row>
    <row r="341" spans="1:44" ht="21.75" customHeight="1">
      <c r="A341" s="110" t="s">
        <v>1836</v>
      </c>
      <c r="B341" s="4103" t="s">
        <v>4577</v>
      </c>
      <c r="C341" s="4103"/>
      <c r="D341" s="4103"/>
      <c r="E341" s="4103"/>
      <c r="F341" s="4103"/>
      <c r="G341" s="4103"/>
      <c r="H341" s="4103"/>
      <c r="I341" s="4103"/>
      <c r="J341" s="4103"/>
      <c r="K341" s="4103"/>
      <c r="L341" s="4103"/>
      <c r="M341" s="4103"/>
      <c r="N341" s="4103"/>
      <c r="O341" s="128" t="s">
        <v>1836</v>
      </c>
      <c r="P341" s="1723"/>
      <c r="Q341" s="1724"/>
    </row>
    <row r="342" spans="1:44" s="35" customFormat="1" ht="12.75" customHeight="1">
      <c r="A342" s="40"/>
      <c r="B342" s="33" t="s">
        <v>1611</v>
      </c>
      <c r="C342" s="29" t="s">
        <v>4024</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3769</v>
      </c>
      <c r="G343" s="1456" t="e">
        <f>#REF!</f>
        <v>#REF!</v>
      </c>
      <c r="H343" s="72"/>
      <c r="I343" s="29" t="s">
        <v>831</v>
      </c>
      <c r="J343" s="72"/>
      <c r="K343" s="72"/>
      <c r="L343" s="1455" t="e">
        <f>#REF!</f>
        <v>#REF!</v>
      </c>
      <c r="M343" s="48" t="s">
        <v>4632</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3" t="s">
        <v>4578</v>
      </c>
      <c r="C344" s="4103"/>
      <c r="D344" s="4103"/>
      <c r="E344" s="4103"/>
      <c r="F344" s="4103"/>
      <c r="G344" s="4103"/>
      <c r="H344" s="4103"/>
      <c r="I344" s="4103"/>
      <c r="J344" s="4103"/>
      <c r="K344" s="4103"/>
      <c r="L344" s="4103"/>
      <c r="M344" s="4103"/>
      <c r="N344" s="4103"/>
      <c r="O344" s="128" t="s">
        <v>1838</v>
      </c>
      <c r="P344" s="892"/>
      <c r="Q344" s="893"/>
    </row>
    <row r="345" spans="1:44" s="115" customFormat="1">
      <c r="A345" s="110"/>
      <c r="B345" s="1161"/>
      <c r="C345" s="29" t="s">
        <v>1662</v>
      </c>
      <c r="D345" s="29"/>
      <c r="E345" s="1455" t="e">
        <f>#REF!</f>
        <v>#REF!</v>
      </c>
      <c r="F345" s="29" t="s">
        <v>4580</v>
      </c>
      <c r="H345" s="72"/>
      <c r="L345" s="1848"/>
      <c r="M345" s="48" t="s">
        <v>4632</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3" t="s">
        <v>4579</v>
      </c>
      <c r="C346" s="4103"/>
      <c r="D346" s="4103"/>
      <c r="E346" s="4103"/>
      <c r="F346" s="4103"/>
      <c r="G346" s="4103"/>
      <c r="H346" s="4103"/>
      <c r="I346" s="4103"/>
      <c r="J346" s="4103"/>
      <c r="K346" s="4103"/>
      <c r="L346" s="4103"/>
      <c r="M346" s="4103"/>
      <c r="N346" s="4103"/>
      <c r="O346" s="128" t="s">
        <v>697</v>
      </c>
      <c r="P346" s="1723"/>
      <c r="Q346" s="1724"/>
    </row>
    <row r="347" spans="1:44" ht="14.1" customHeight="1">
      <c r="A347" s="23"/>
      <c r="B347" s="369" t="s">
        <v>1611</v>
      </c>
      <c r="C347" s="44" t="s">
        <v>4436</v>
      </c>
      <c r="D347" s="10"/>
      <c r="E347" s="10"/>
      <c r="F347" s="10"/>
      <c r="G347" s="10"/>
      <c r="H347" s="1721"/>
      <c r="I347" s="1721"/>
      <c r="J347" s="1721"/>
      <c r="K347" s="1721"/>
      <c r="L347" s="1721"/>
      <c r="M347" s="1721"/>
      <c r="N347" s="1722"/>
      <c r="O347" s="48" t="s">
        <v>3926</v>
      </c>
      <c r="P347" s="1727"/>
      <c r="Q347" s="1728"/>
    </row>
    <row r="348" spans="1:44" s="115" customFormat="1">
      <c r="A348" s="110"/>
      <c r="B348" s="1161"/>
      <c r="C348" s="29" t="s">
        <v>1662</v>
      </c>
      <c r="D348" s="29"/>
      <c r="E348" s="1455" t="e">
        <f>#REF!</f>
        <v>#REF!</v>
      </c>
      <c r="F348" s="29" t="s">
        <v>3769</v>
      </c>
      <c r="G348" s="1456" t="e">
        <f>#REF!</f>
        <v>#REF!</v>
      </c>
      <c r="H348" s="72"/>
      <c r="I348" s="29" t="s">
        <v>831</v>
      </c>
      <c r="J348" s="72"/>
      <c r="K348" s="72"/>
      <c r="L348" s="1455" t="e">
        <f>#REF!</f>
        <v>#REF!</v>
      </c>
      <c r="M348" s="48" t="s">
        <v>4632</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3156</v>
      </c>
      <c r="D349" s="109"/>
      <c r="E349" s="109"/>
      <c r="F349" s="109"/>
      <c r="G349" s="109"/>
      <c r="H349" s="33"/>
      <c r="I349" s="878"/>
      <c r="J349" s="878"/>
      <c r="K349" s="878"/>
      <c r="L349" s="674"/>
      <c r="M349" s="674"/>
      <c r="N349" s="674"/>
      <c r="O349" s="674"/>
      <c r="P349" s="674"/>
      <c r="Q349" s="674"/>
    </row>
    <row r="350" spans="1:44" ht="12" customHeight="1">
      <c r="A350" s="4117"/>
      <c r="B350" s="4118"/>
      <c r="C350" s="4118"/>
      <c r="D350" s="4118"/>
      <c r="E350" s="4118"/>
      <c r="F350" s="4118"/>
      <c r="G350" s="4118"/>
      <c r="H350" s="4118"/>
      <c r="I350" s="4118"/>
      <c r="J350" s="4118"/>
      <c r="K350" s="4118"/>
      <c r="L350" s="4118"/>
      <c r="M350" s="4118"/>
      <c r="N350" s="4118"/>
      <c r="O350" s="4118"/>
      <c r="P350" s="4118"/>
      <c r="Q350" s="4119"/>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4"/>
      <c r="B352" s="4115"/>
      <c r="C352" s="4115"/>
      <c r="D352" s="4115"/>
      <c r="E352" s="4115"/>
      <c r="F352" s="4115"/>
      <c r="G352" s="4115"/>
      <c r="H352" s="4115"/>
      <c r="I352" s="4115"/>
      <c r="J352" s="4115"/>
      <c r="K352" s="4115"/>
      <c r="L352" s="4115"/>
      <c r="M352" s="4115"/>
      <c r="N352" s="4115"/>
      <c r="O352" s="4115"/>
      <c r="P352" s="4115"/>
      <c r="Q352" s="4116"/>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3289</v>
      </c>
      <c r="B354" s="4" t="s">
        <v>3270</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9"/>
      <c r="Q354" s="4110"/>
    </row>
    <row r="355" spans="1:31" ht="10.5" customHeight="1">
      <c r="A355" s="40" t="s">
        <v>1836</v>
      </c>
      <c r="B355" s="29" t="s">
        <v>3271</v>
      </c>
      <c r="D355" s="118"/>
      <c r="E355" s="118"/>
      <c r="F355" s="118"/>
      <c r="G355" s="118"/>
      <c r="H355" s="48" t="s">
        <v>1836</v>
      </c>
      <c r="I355" s="4280"/>
      <c r="J355" s="4281"/>
      <c r="K355" s="4281"/>
      <c r="L355" s="4281"/>
      <c r="M355" s="4281"/>
      <c r="N355" s="4281"/>
      <c r="O355" s="4281"/>
      <c r="P355" s="4282"/>
      <c r="Q355" s="418"/>
    </row>
    <row r="356" spans="1:31" ht="10.5" customHeight="1">
      <c r="A356" s="110" t="s">
        <v>1838</v>
      </c>
      <c r="B356" s="29" t="s">
        <v>3272</v>
      </c>
      <c r="D356" s="118"/>
      <c r="E356" s="118"/>
      <c r="F356" s="118"/>
      <c r="G356" s="118"/>
      <c r="H356" s="128" t="s">
        <v>1838</v>
      </c>
      <c r="I356" s="4157"/>
      <c r="J356" s="4158"/>
      <c r="K356" s="4158"/>
      <c r="L356" s="4158"/>
      <c r="M356" s="4158"/>
      <c r="N356" s="4158"/>
      <c r="O356" s="4158"/>
      <c r="P356" s="4159"/>
      <c r="Q356" s="420"/>
    </row>
    <row r="357" spans="1:31" ht="21.75" customHeight="1">
      <c r="A357" s="110" t="s">
        <v>697</v>
      </c>
      <c r="B357" s="4125" t="s">
        <v>3263</v>
      </c>
      <c r="C357" s="4125"/>
      <c r="D357" s="4125"/>
      <c r="E357" s="4125"/>
      <c r="F357" s="4125"/>
      <c r="G357" s="4125"/>
      <c r="H357" s="4125"/>
      <c r="I357" s="4125"/>
      <c r="J357" s="4125"/>
      <c r="K357" s="4125"/>
      <c r="L357" s="4125"/>
      <c r="M357" s="4125"/>
      <c r="N357" s="4125"/>
      <c r="O357" s="128" t="s">
        <v>697</v>
      </c>
      <c r="P357" s="825"/>
      <c r="Q357" s="880"/>
    </row>
    <row r="358" spans="1:31" ht="21.75" customHeight="1">
      <c r="A358" s="110" t="s">
        <v>1957</v>
      </c>
      <c r="B358" s="4103" t="s">
        <v>3264</v>
      </c>
      <c r="C358" s="4103"/>
      <c r="D358" s="4103"/>
      <c r="E358" s="4103"/>
      <c r="F358" s="4103"/>
      <c r="G358" s="4103"/>
      <c r="H358" s="4103"/>
      <c r="I358" s="4103"/>
      <c r="J358" s="4103"/>
      <c r="K358" s="4103"/>
      <c r="L358" s="4103"/>
      <c r="M358" s="4103"/>
      <c r="N358" s="4103"/>
      <c r="O358" s="128" t="s">
        <v>1957</v>
      </c>
      <c r="P358" s="430"/>
      <c r="Q358" s="421"/>
    </row>
    <row r="359" spans="1:31" ht="10.5" customHeight="1">
      <c r="A359" s="110" t="s">
        <v>1609</v>
      </c>
      <c r="B359" s="29" t="s">
        <v>3265</v>
      </c>
      <c r="D359" s="29"/>
      <c r="E359" s="29"/>
      <c r="F359" s="29"/>
      <c r="G359" s="29"/>
      <c r="H359" s="29"/>
      <c r="I359" s="29"/>
      <c r="J359" s="29"/>
      <c r="K359" s="29"/>
      <c r="L359" s="29"/>
      <c r="M359" s="29"/>
      <c r="O359" s="128" t="s">
        <v>1609</v>
      </c>
      <c r="P359" s="299"/>
      <c r="Q359" s="419"/>
    </row>
    <row r="360" spans="1:31" s="102" customFormat="1" ht="21.75" customHeight="1">
      <c r="A360" s="110" t="s">
        <v>1610</v>
      </c>
      <c r="B360" s="4103" t="s">
        <v>3266</v>
      </c>
      <c r="C360" s="4103"/>
      <c r="D360" s="4103"/>
      <c r="E360" s="4103"/>
      <c r="F360" s="4103"/>
      <c r="G360" s="4103"/>
      <c r="H360" s="4103"/>
      <c r="I360" s="4103"/>
      <c r="J360" s="4103"/>
      <c r="K360" s="4103"/>
      <c r="L360" s="4103"/>
      <c r="M360" s="4103"/>
      <c r="N360" s="4103"/>
      <c r="O360" s="128" t="s">
        <v>1610</v>
      </c>
      <c r="P360" s="665"/>
      <c r="Q360" s="666"/>
    </row>
    <row r="361" spans="1:31" s="102" customFormat="1" ht="10.5" customHeight="1">
      <c r="A361" s="110" t="s">
        <v>1803</v>
      </c>
      <c r="B361" s="108" t="s">
        <v>3267</v>
      </c>
      <c r="D361" s="456"/>
      <c r="E361" s="456"/>
      <c r="F361" s="456"/>
      <c r="G361" s="456"/>
      <c r="H361" s="456"/>
      <c r="I361" s="456"/>
      <c r="J361" s="456"/>
      <c r="K361" s="456"/>
      <c r="L361" s="456"/>
      <c r="M361" s="456"/>
      <c r="N361" s="456"/>
      <c r="O361" s="128" t="s">
        <v>1803</v>
      </c>
      <c r="P361" s="881"/>
      <c r="Q361" s="880"/>
    </row>
    <row r="362" spans="1:31" s="102" customFormat="1" ht="10.5" customHeight="1">
      <c r="C362" s="371" t="s">
        <v>3746</v>
      </c>
      <c r="E362" s="874"/>
      <c r="F362" s="874"/>
      <c r="G362" s="874"/>
      <c r="H362" s="874"/>
      <c r="I362" s="874"/>
      <c r="J362" s="874"/>
      <c r="K362" s="874"/>
      <c r="L362" s="874"/>
      <c r="M362" s="874"/>
      <c r="N362" s="874"/>
      <c r="P362" s="883"/>
      <c r="Q362" s="882"/>
    </row>
    <row r="363" spans="1:31" ht="21.75" customHeight="1">
      <c r="A363" s="110" t="s">
        <v>2933</v>
      </c>
      <c r="B363" s="4103" t="s">
        <v>3268</v>
      </c>
      <c r="C363" s="4103"/>
      <c r="D363" s="4103"/>
      <c r="E363" s="4103"/>
      <c r="F363" s="4103"/>
      <c r="G363" s="4103"/>
      <c r="H363" s="4103"/>
      <c r="I363" s="4103"/>
      <c r="J363" s="4103"/>
      <c r="K363" s="4103"/>
      <c r="L363" s="4103"/>
      <c r="M363" s="4103"/>
      <c r="N363" s="4103"/>
      <c r="O363" s="128" t="s">
        <v>2933</v>
      </c>
      <c r="P363" s="881"/>
      <c r="Q363" s="880"/>
    </row>
    <row r="364" spans="1:31" ht="33" customHeight="1">
      <c r="A364" s="110" t="s">
        <v>572</v>
      </c>
      <c r="B364" s="4103" t="s">
        <v>3269</v>
      </c>
      <c r="C364" s="4103"/>
      <c r="D364" s="4103"/>
      <c r="E364" s="4103"/>
      <c r="F364" s="4103"/>
      <c r="G364" s="4103"/>
      <c r="H364" s="4103"/>
      <c r="I364" s="4103"/>
      <c r="J364" s="4103"/>
      <c r="K364" s="4103"/>
      <c r="L364" s="4103"/>
      <c r="M364" s="4103"/>
      <c r="N364" s="4103"/>
      <c r="O364" s="128" t="s">
        <v>572</v>
      </c>
      <c r="P364" s="883"/>
      <c r="Q364" s="882"/>
    </row>
    <row r="365" spans="1:31" ht="10.5" customHeight="1">
      <c r="B365" s="109" t="s">
        <v>3156</v>
      </c>
      <c r="D365" s="109"/>
      <c r="E365" s="109"/>
      <c r="F365" s="109"/>
      <c r="G365" s="109"/>
      <c r="H365" s="33"/>
      <c r="I365" s="878"/>
      <c r="J365" s="878"/>
      <c r="K365" s="878"/>
      <c r="L365" s="674"/>
      <c r="M365" s="674"/>
      <c r="N365" s="674"/>
      <c r="O365" s="674"/>
      <c r="P365" s="674"/>
      <c r="Q365" s="674"/>
    </row>
    <row r="366" spans="1:31" ht="31.5" customHeight="1">
      <c r="A366" s="4117"/>
      <c r="B366" s="4118"/>
      <c r="C366" s="4118"/>
      <c r="D366" s="4118"/>
      <c r="E366" s="4118"/>
      <c r="F366" s="4118"/>
      <c r="G366" s="4118"/>
      <c r="H366" s="4118"/>
      <c r="I366" s="4118"/>
      <c r="J366" s="4118"/>
      <c r="K366" s="4118"/>
      <c r="L366" s="4118"/>
      <c r="M366" s="4118"/>
      <c r="N366" s="4118"/>
      <c r="O366" s="4118"/>
      <c r="P366" s="4118"/>
      <c r="Q366" s="4119"/>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4"/>
      <c r="B368" s="4115"/>
      <c r="C368" s="4115"/>
      <c r="D368" s="4115"/>
      <c r="E368" s="4115"/>
      <c r="F368" s="4115"/>
      <c r="G368" s="4115"/>
      <c r="H368" s="4115"/>
      <c r="I368" s="4115"/>
      <c r="J368" s="4115"/>
      <c r="K368" s="4115"/>
      <c r="L368" s="4115"/>
      <c r="M368" s="4115"/>
      <c r="N368" s="4115"/>
      <c r="O368" s="4115"/>
      <c r="P368" s="4115"/>
      <c r="Q368" s="4116"/>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3290</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9"/>
      <c r="Q371" s="4110"/>
    </row>
    <row r="372" spans="1:31" ht="11.65" customHeight="1">
      <c r="A372" s="40" t="s">
        <v>1836</v>
      </c>
      <c r="B372" s="32" t="s">
        <v>969</v>
      </c>
      <c r="E372" s="4164"/>
      <c r="F372" s="4165"/>
      <c r="G372" s="4165"/>
      <c r="H372" s="4165"/>
      <c r="I372" s="4166"/>
      <c r="J372" s="4167" t="s">
        <v>2430</v>
      </c>
      <c r="K372" s="4168"/>
      <c r="L372" s="4169"/>
      <c r="M372" s="4164"/>
      <c r="N372" s="4165"/>
      <c r="O372" s="4165"/>
      <c r="P372" s="4165"/>
      <c r="Q372" s="4166"/>
    </row>
    <row r="373" spans="1:31" s="102" customFormat="1" ht="22.5" customHeight="1">
      <c r="A373" s="110" t="s">
        <v>1838</v>
      </c>
      <c r="B373" s="4103" t="s">
        <v>2998</v>
      </c>
      <c r="C373" s="4103"/>
      <c r="D373" s="4103"/>
      <c r="E373" s="4103"/>
      <c r="F373" s="4103"/>
      <c r="G373" s="4103"/>
      <c r="H373" s="4103"/>
      <c r="I373" s="4103"/>
      <c r="J373" s="4103"/>
      <c r="K373" s="4103"/>
      <c r="L373" s="4103"/>
      <c r="M373" s="4103"/>
      <c r="N373" s="4103"/>
      <c r="O373" s="128" t="s">
        <v>1838</v>
      </c>
      <c r="P373" s="430"/>
      <c r="Q373" s="421"/>
    </row>
    <row r="374" spans="1:31">
      <c r="A374" s="110" t="s">
        <v>697</v>
      </c>
      <c r="B374" s="44" t="s">
        <v>3118</v>
      </c>
      <c r="G374" s="876"/>
      <c r="H374" s="876"/>
      <c r="I374" s="876"/>
      <c r="J374" s="33" t="s">
        <v>3119</v>
      </c>
      <c r="L374" s="876"/>
      <c r="M374" s="4170" t="e">
        <f>#REF!</f>
        <v>#REF!</v>
      </c>
      <c r="N374" s="4171"/>
      <c r="O374" s="128" t="s">
        <v>697</v>
      </c>
      <c r="P374" s="176"/>
      <c r="Q374" s="420"/>
    </row>
    <row r="375" spans="1:31" ht="11.25" customHeight="1">
      <c r="B375" s="109" t="s">
        <v>3156</v>
      </c>
      <c r="D375" s="109"/>
      <c r="E375" s="109"/>
      <c r="F375" s="109"/>
      <c r="G375" s="109"/>
      <c r="H375" s="33"/>
      <c r="I375" s="878"/>
      <c r="J375" s="878"/>
      <c r="K375" s="878"/>
      <c r="L375" s="674"/>
      <c r="M375" s="674"/>
      <c r="N375" s="674"/>
      <c r="O375" s="674"/>
      <c r="P375" s="674"/>
      <c r="Q375" s="674"/>
    </row>
    <row r="376" spans="1:31" ht="11.65" customHeight="1">
      <c r="A376" s="4117"/>
      <c r="B376" s="4118"/>
      <c r="C376" s="4118"/>
      <c r="D376" s="4118"/>
      <c r="E376" s="4118"/>
      <c r="F376" s="4118"/>
      <c r="G376" s="4118"/>
      <c r="H376" s="4118"/>
      <c r="I376" s="4118"/>
      <c r="J376" s="4118"/>
      <c r="K376" s="4118"/>
      <c r="L376" s="4118"/>
      <c r="M376" s="4118"/>
      <c r="N376" s="4118"/>
      <c r="O376" s="4118"/>
      <c r="P376" s="4118"/>
      <c r="Q376" s="4119"/>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14"/>
      <c r="B378" s="4115"/>
      <c r="C378" s="4115"/>
      <c r="D378" s="4115"/>
      <c r="E378" s="4115"/>
      <c r="F378" s="4115"/>
      <c r="G378" s="4115"/>
      <c r="H378" s="4115"/>
      <c r="I378" s="4115"/>
      <c r="J378" s="4115"/>
      <c r="K378" s="4115"/>
      <c r="L378" s="4115"/>
      <c r="M378" s="4115"/>
      <c r="N378" s="4115"/>
      <c r="O378" s="4115"/>
      <c r="P378" s="4115"/>
      <c r="Q378" s="4116"/>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3291</v>
      </c>
      <c r="B380" s="4" t="s">
        <v>2428</v>
      </c>
      <c r="C380" s="4"/>
      <c r="D380" s="4"/>
      <c r="E380" s="874"/>
      <c r="G380" s="108" t="s">
        <v>654</v>
      </c>
      <c r="H380" s="874"/>
      <c r="I380" s="874"/>
      <c r="J380" s="874"/>
      <c r="K380" s="874"/>
      <c r="L380" s="874"/>
      <c r="M380" s="874"/>
      <c r="O380" s="101" t="s">
        <v>1726</v>
      </c>
      <c r="P380" s="4109"/>
      <c r="Q380" s="4160"/>
    </row>
    <row r="381" spans="1:31" ht="12" customHeight="1">
      <c r="A381" s="40" t="s">
        <v>1836</v>
      </c>
      <c r="B381" s="29" t="s">
        <v>2431</v>
      </c>
      <c r="D381" s="456"/>
      <c r="E381" s="456"/>
      <c r="O381" s="48" t="s">
        <v>1836</v>
      </c>
      <c r="P381" s="175"/>
      <c r="Q381" s="418"/>
    </row>
    <row r="382" spans="1:31" ht="12" customHeight="1">
      <c r="A382" s="40" t="s">
        <v>1838</v>
      </c>
      <c r="B382" s="29" t="s">
        <v>3059</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3060</v>
      </c>
      <c r="E384" s="108"/>
      <c r="O384" s="48" t="s">
        <v>1957</v>
      </c>
      <c r="P384" s="299"/>
      <c r="Q384" s="419"/>
    </row>
    <row r="385" spans="1:31" ht="12" customHeight="1">
      <c r="A385" s="40" t="s">
        <v>1609</v>
      </c>
      <c r="B385" s="29" t="s">
        <v>1923</v>
      </c>
      <c r="E385" s="108"/>
      <c r="G385" s="48" t="s">
        <v>1609</v>
      </c>
      <c r="H385" s="4120"/>
      <c r="I385" s="4121"/>
      <c r="J385" s="4121"/>
      <c r="K385" s="4121"/>
      <c r="L385" s="4121"/>
      <c r="M385" s="4121"/>
      <c r="N385" s="4121"/>
      <c r="O385" s="4122"/>
      <c r="P385" s="176"/>
      <c r="Q385" s="420"/>
    </row>
    <row r="386" spans="1:31" ht="11.25" customHeight="1">
      <c r="B386" s="109" t="s">
        <v>3156</v>
      </c>
      <c r="D386" s="109"/>
      <c r="E386" s="109"/>
      <c r="F386" s="109"/>
      <c r="G386" s="109"/>
      <c r="H386" s="33"/>
      <c r="I386" s="878"/>
      <c r="J386" s="878"/>
      <c r="K386" s="878"/>
      <c r="L386" s="674"/>
      <c r="M386" s="674"/>
      <c r="N386" s="674"/>
      <c r="O386" s="674"/>
      <c r="P386" s="674"/>
      <c r="Q386" s="674"/>
    </row>
    <row r="387" spans="1:31" ht="11.65" customHeight="1">
      <c r="A387" s="4117"/>
      <c r="B387" s="4118"/>
      <c r="C387" s="4118"/>
      <c r="D387" s="4118"/>
      <c r="E387" s="4118"/>
      <c r="F387" s="4118"/>
      <c r="G387" s="4118"/>
      <c r="H387" s="4118"/>
      <c r="I387" s="4118"/>
      <c r="J387" s="4118"/>
      <c r="K387" s="4118"/>
      <c r="L387" s="4118"/>
      <c r="M387" s="4118"/>
      <c r="N387" s="4118"/>
      <c r="O387" s="4118"/>
      <c r="P387" s="4118"/>
      <c r="Q387" s="4119"/>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14"/>
      <c r="B389" s="4115"/>
      <c r="C389" s="4115"/>
      <c r="D389" s="4115"/>
      <c r="E389" s="4115"/>
      <c r="F389" s="4115"/>
      <c r="G389" s="4115"/>
      <c r="H389" s="4115"/>
      <c r="I389" s="4115"/>
      <c r="J389" s="4115"/>
      <c r="K389" s="4115"/>
      <c r="L389" s="4115"/>
      <c r="M389" s="4115"/>
      <c r="N389" s="4115"/>
      <c r="O389" s="4115"/>
      <c r="P389" s="4115"/>
      <c r="Q389" s="4116"/>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3292</v>
      </c>
      <c r="B391" s="4" t="s">
        <v>3813</v>
      </c>
      <c r="C391" s="4"/>
      <c r="D391" s="4"/>
      <c r="E391" s="4"/>
      <c r="F391" s="4"/>
      <c r="G391" s="4"/>
      <c r="H391" s="874"/>
      <c r="I391" s="874"/>
      <c r="J391" s="874"/>
      <c r="K391" s="874"/>
      <c r="L391" s="874"/>
      <c r="M391" s="874"/>
      <c r="O391" s="101" t="s">
        <v>1726</v>
      </c>
      <c r="P391" s="4123"/>
      <c r="Q391" s="4124"/>
    </row>
    <row r="392" spans="1:31" ht="12" customHeight="1">
      <c r="B392" s="44" t="s">
        <v>4147</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3902</v>
      </c>
      <c r="D395" s="44" t="s">
        <v>3903</v>
      </c>
      <c r="E395" s="35"/>
      <c r="F395" s="35"/>
      <c r="G395" s="35"/>
      <c r="H395" s="35"/>
      <c r="I395" s="35"/>
      <c r="J395" s="35"/>
      <c r="K395" s="35"/>
      <c r="L395" s="35"/>
      <c r="M395" s="35"/>
      <c r="N395" s="35"/>
      <c r="O395" s="48" t="s">
        <v>3902</v>
      </c>
      <c r="P395" s="4203"/>
      <c r="Q395" s="4201"/>
    </row>
    <row r="396" spans="1:31" ht="12" customHeight="1">
      <c r="A396" s="40"/>
      <c r="D396" s="29" t="s">
        <v>4397</v>
      </c>
      <c r="E396" s="29"/>
      <c r="F396" s="29"/>
      <c r="G396" s="29"/>
      <c r="H396" s="29"/>
      <c r="I396" s="29"/>
      <c r="J396" s="29"/>
      <c r="K396" s="29"/>
      <c r="L396" s="29"/>
      <c r="M396" s="29"/>
      <c r="N396" s="35"/>
      <c r="O396" s="1335"/>
      <c r="P396" s="4204"/>
      <c r="Q396" s="4202"/>
    </row>
    <row r="397" spans="1:31" ht="12" customHeight="1">
      <c r="C397" s="29" t="s">
        <v>2235</v>
      </c>
      <c r="D397" s="29" t="s">
        <v>2999</v>
      </c>
      <c r="E397" s="29"/>
      <c r="F397" s="29"/>
      <c r="G397" s="29"/>
      <c r="H397" s="29"/>
      <c r="I397" s="29"/>
      <c r="J397" s="29"/>
      <c r="K397" s="29"/>
      <c r="L397" s="29"/>
      <c r="M397" s="29"/>
      <c r="N397" s="35"/>
      <c r="O397" s="48" t="s">
        <v>2235</v>
      </c>
      <c r="P397" s="781"/>
      <c r="Q397" s="707"/>
    </row>
    <row r="398" spans="1:31" s="115" customFormat="1" ht="12" customHeight="1">
      <c r="A398" s="40"/>
      <c r="C398" s="29" t="s">
        <v>3816</v>
      </c>
      <c r="D398" s="29" t="s">
        <v>3056</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3" t="s">
        <v>4050</v>
      </c>
      <c r="D400" s="4103"/>
      <c r="E400" s="4103"/>
      <c r="F400" s="4103"/>
      <c r="G400" s="29" t="s">
        <v>3817</v>
      </c>
      <c r="J400" s="705"/>
      <c r="K400" s="425"/>
      <c r="M400" s="29" t="s">
        <v>4121</v>
      </c>
      <c r="P400" s="1670"/>
      <c r="Q400" s="1671"/>
    </row>
    <row r="401" spans="1:44" ht="12" customHeight="1">
      <c r="A401" s="40"/>
      <c r="C401" s="4103"/>
      <c r="D401" s="4103"/>
      <c r="E401" s="4103"/>
      <c r="F401" s="4103"/>
      <c r="G401" s="29" t="s">
        <v>4120</v>
      </c>
      <c r="J401" s="706"/>
      <c r="K401" s="426"/>
      <c r="M401" s="29" t="s">
        <v>4122</v>
      </c>
      <c r="P401" s="706"/>
      <c r="Q401" s="426"/>
    </row>
    <row r="402" spans="1:44" ht="8.25" customHeight="1">
      <c r="A402" s="40"/>
      <c r="C402" s="4103"/>
      <c r="D402" s="4103"/>
      <c r="E402" s="4103"/>
      <c r="F402" s="4103"/>
      <c r="J402" s="1448"/>
      <c r="L402" s="33"/>
      <c r="M402" s="35"/>
      <c r="N402" s="48"/>
    </row>
    <row r="403" spans="1:44" s="72" customFormat="1" ht="12.75" customHeight="1">
      <c r="A403" s="107"/>
      <c r="B403" s="153"/>
      <c r="D403" s="879"/>
      <c r="E403" s="879"/>
      <c r="F403" s="879"/>
      <c r="G403" s="879"/>
      <c r="H403" s="879"/>
      <c r="I403" s="4111" t="s">
        <v>4077</v>
      </c>
      <c r="J403" s="4111" t="s">
        <v>4078</v>
      </c>
      <c r="K403" s="4111" t="s">
        <v>4080</v>
      </c>
      <c r="L403" s="4111"/>
      <c r="M403" s="4111"/>
      <c r="N403" s="4150" t="s">
        <v>4079</v>
      </c>
      <c r="O403" s="48"/>
      <c r="P403" s="4274" t="s">
        <v>4589</v>
      </c>
      <c r="Q403" s="4274"/>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3"/>
      <c r="J404" s="4111"/>
      <c r="K404" s="4111"/>
      <c r="L404" s="4111"/>
      <c r="M404" s="4111"/>
      <c r="N404" s="4151"/>
      <c r="O404" s="48"/>
      <c r="P404" s="4275"/>
      <c r="Q404" s="4275"/>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3" t="s">
        <v>4191</v>
      </c>
      <c r="D405" s="4103"/>
      <c r="E405" s="4103"/>
      <c r="F405" s="4103"/>
      <c r="G405" s="4103"/>
      <c r="H405" s="4103"/>
      <c r="I405" s="364">
        <f>K290</f>
        <v>0</v>
      </c>
      <c r="J405" s="1672"/>
      <c r="K405" s="4112"/>
      <c r="L405" s="4112"/>
      <c r="M405" s="4113"/>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3"/>
      <c r="D406" s="4103"/>
      <c r="E406" s="4103"/>
      <c r="F406" s="4103"/>
      <c r="G406" s="4103"/>
      <c r="H406" s="4103"/>
      <c r="I406" s="248"/>
      <c r="J406" s="1673"/>
      <c r="K406" s="4152"/>
      <c r="L406" s="4152"/>
      <c r="M406" s="4153"/>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4081</v>
      </c>
      <c r="E408" s="108"/>
      <c r="F408" s="108"/>
      <c r="G408" s="108"/>
      <c r="H408" s="108"/>
      <c r="I408" s="364">
        <f>K291</f>
        <v>0</v>
      </c>
      <c r="J408" s="1672"/>
      <c r="K408" s="4112"/>
      <c r="L408" s="4112"/>
      <c r="M408" s="4113"/>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2"/>
      <c r="L409" s="4152"/>
      <c r="M409" s="4153"/>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3" t="s">
        <v>4192</v>
      </c>
      <c r="D411" s="4103"/>
      <c r="E411" s="4103"/>
      <c r="F411" s="4103"/>
      <c r="G411" s="4103"/>
      <c r="H411" s="4103"/>
      <c r="I411" s="364">
        <f>K293</f>
        <v>0</v>
      </c>
      <c r="J411" s="1672"/>
      <c r="K411" s="4112"/>
      <c r="L411" s="4112"/>
      <c r="M411" s="4113"/>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3"/>
      <c r="D412" s="4103"/>
      <c r="E412" s="4103"/>
      <c r="F412" s="4103"/>
      <c r="G412" s="4103"/>
      <c r="H412" s="4103"/>
      <c r="J412" s="1673"/>
      <c r="K412" s="4152"/>
      <c r="L412" s="4152"/>
      <c r="M412" s="4153"/>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3710</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2234</v>
      </c>
      <c r="P415" s="372" t="s">
        <v>1641</v>
      </c>
      <c r="Q415" s="417" t="s">
        <v>1641</v>
      </c>
    </row>
    <row r="416" spans="1:44" ht="12" customHeight="1">
      <c r="A416" s="35"/>
      <c r="B416" s="115"/>
      <c r="D416" s="4108" t="s">
        <v>4125</v>
      </c>
      <c r="E416" s="351" t="s">
        <v>2257</v>
      </c>
      <c r="F416" s="44" t="s">
        <v>3204</v>
      </c>
      <c r="G416" s="4104"/>
      <c r="H416" s="4105"/>
      <c r="I416" s="4105"/>
      <c r="J416" s="4105"/>
      <c r="K416" s="4106"/>
      <c r="L416" s="351"/>
    </row>
    <row r="417" spans="1:31" ht="12" customHeight="1">
      <c r="B417" s="115"/>
      <c r="D417" s="4108"/>
      <c r="E417" s="351" t="s">
        <v>3814</v>
      </c>
      <c r="F417" s="44" t="s">
        <v>3815</v>
      </c>
      <c r="G417" s="4161" t="s">
        <v>3121</v>
      </c>
      <c r="H417" s="4162"/>
      <c r="I417" s="4163"/>
      <c r="J417" s="44" t="s">
        <v>3677</v>
      </c>
      <c r="K417" s="115"/>
      <c r="M417" s="4104"/>
      <c r="N417" s="4105"/>
      <c r="O417" s="4105"/>
      <c r="P417" s="4105"/>
      <c r="Q417" s="4106"/>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65" customHeight="1">
      <c r="B419" s="4154"/>
      <c r="C419" s="4155"/>
      <c r="D419" s="4155"/>
      <c r="E419" s="4155"/>
      <c r="F419" s="4155"/>
      <c r="G419" s="4155"/>
      <c r="H419" s="4155"/>
      <c r="I419" s="4155"/>
      <c r="J419" s="4155"/>
      <c r="K419" s="4155"/>
      <c r="L419" s="4155"/>
      <c r="M419" s="4155"/>
      <c r="N419" s="4155"/>
      <c r="O419" s="4155"/>
      <c r="P419" s="4155"/>
      <c r="Q419" s="4156"/>
      <c r="R419" s="353" t="s">
        <v>3676</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7" t="s">
        <v>3904</v>
      </c>
      <c r="C421" s="4103"/>
      <c r="D421" s="4103"/>
      <c r="E421" s="4103"/>
      <c r="F421" s="4103"/>
      <c r="G421" s="4103"/>
      <c r="H421" s="4103"/>
      <c r="I421" s="4103"/>
      <c r="J421" s="4103"/>
      <c r="K421" s="4103"/>
      <c r="L421" s="4103"/>
      <c r="M421" s="4103"/>
      <c r="N421" s="4103"/>
    </row>
    <row r="422" spans="1:31" s="115" customFormat="1" ht="45" customHeight="1">
      <c r="B422" s="4103" t="s">
        <v>4437</v>
      </c>
      <c r="C422" s="4103"/>
      <c r="D422" s="4103"/>
      <c r="E422" s="4103"/>
      <c r="F422" s="4103"/>
      <c r="G422" s="4103"/>
      <c r="H422" s="4103"/>
      <c r="I422" s="4103"/>
      <c r="J422" s="4103"/>
      <c r="K422" s="4103"/>
      <c r="L422" s="4103"/>
      <c r="M422" s="4103"/>
      <c r="N422" s="4103"/>
      <c r="O422" s="128" t="s">
        <v>1838</v>
      </c>
      <c r="P422" s="892"/>
      <c r="Q422" s="893"/>
    </row>
    <row r="423" spans="1:31" ht="12" customHeight="1">
      <c r="B423" s="109" t="s">
        <v>3156</v>
      </c>
      <c r="D423" s="109"/>
      <c r="E423" s="109"/>
      <c r="F423" s="109"/>
      <c r="G423" s="109"/>
      <c r="H423" s="33"/>
      <c r="I423" s="878"/>
      <c r="J423" s="878"/>
      <c r="K423" s="878"/>
    </row>
    <row r="424" spans="1:31" ht="33.6" customHeight="1">
      <c r="A424" s="4117"/>
      <c r="B424" s="4118"/>
      <c r="C424" s="4118"/>
      <c r="D424" s="4118"/>
      <c r="E424" s="4118"/>
      <c r="F424" s="4118"/>
      <c r="G424" s="4118"/>
      <c r="H424" s="4118"/>
      <c r="I424" s="4118"/>
      <c r="J424" s="4118"/>
      <c r="K424" s="4118"/>
      <c r="L424" s="4118"/>
      <c r="M424" s="4118"/>
      <c r="N424" s="4118"/>
      <c r="O424" s="4118"/>
      <c r="P424" s="4118"/>
      <c r="Q424" s="4119"/>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4"/>
      <c r="B426" s="4115"/>
      <c r="C426" s="4115"/>
      <c r="D426" s="4115"/>
      <c r="E426" s="4115"/>
      <c r="F426" s="4115"/>
      <c r="G426" s="4115"/>
      <c r="H426" s="4115"/>
      <c r="I426" s="4115"/>
      <c r="J426" s="4115"/>
      <c r="K426" s="4115"/>
      <c r="L426" s="4115"/>
      <c r="M426" s="4115"/>
      <c r="N426" s="4115"/>
      <c r="O426" s="4115"/>
      <c r="P426" s="4115"/>
      <c r="Q426" s="4116"/>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3293</v>
      </c>
      <c r="B428" s="4" t="s">
        <v>2502</v>
      </c>
      <c r="C428" s="4"/>
      <c r="D428" s="66"/>
      <c r="E428" s="874"/>
      <c r="F428" s="874"/>
      <c r="G428" s="874"/>
      <c r="H428" s="874"/>
      <c r="O428" s="101" t="s">
        <v>1726</v>
      </c>
      <c r="P428" s="4109"/>
      <c r="Q428" s="4110"/>
    </row>
    <row r="429" spans="1:31" ht="14.1" customHeight="1">
      <c r="B429" s="66" t="s">
        <v>3772</v>
      </c>
      <c r="C429" s="4"/>
      <c r="D429" s="66"/>
      <c r="E429" s="874"/>
      <c r="F429" s="874"/>
      <c r="G429" s="874"/>
      <c r="H429" s="874"/>
    </row>
    <row r="430" spans="1:31" s="102" customFormat="1" ht="21.75" customHeight="1">
      <c r="A430" s="110" t="s">
        <v>1836</v>
      </c>
      <c r="B430" s="4103" t="s">
        <v>3227</v>
      </c>
      <c r="C430" s="4103"/>
      <c r="D430" s="4103"/>
      <c r="E430" s="4103"/>
      <c r="F430" s="4103"/>
      <c r="G430" s="4103"/>
      <c r="H430" s="4103"/>
      <c r="I430" s="4103"/>
      <c r="J430" s="4103"/>
      <c r="K430" s="4103"/>
      <c r="L430" s="4103"/>
      <c r="M430" s="4103"/>
      <c r="N430" s="4103"/>
      <c r="O430" s="128" t="s">
        <v>1836</v>
      </c>
      <c r="P430" s="881"/>
      <c r="Q430" s="880"/>
    </row>
    <row r="431" spans="1:31" s="102" customFormat="1" ht="22.5" customHeight="1">
      <c r="A431" s="110" t="s">
        <v>1838</v>
      </c>
      <c r="B431" s="4103" t="s">
        <v>3226</v>
      </c>
      <c r="C431" s="4103"/>
      <c r="D431" s="4103"/>
      <c r="E431" s="4103"/>
      <c r="F431" s="4103"/>
      <c r="G431" s="4103"/>
      <c r="H431" s="4103"/>
      <c r="I431" s="4103"/>
      <c r="J431" s="4103"/>
      <c r="K431" s="4103"/>
      <c r="L431" s="4103"/>
      <c r="M431" s="4103"/>
      <c r="N431" s="4103"/>
      <c r="O431" s="128" t="s">
        <v>1838</v>
      </c>
      <c r="P431" s="430"/>
      <c r="Q431" s="421"/>
    </row>
    <row r="432" spans="1:31" s="102" customFormat="1" ht="22.5" customHeight="1">
      <c r="B432" s="1161" t="s">
        <v>1611</v>
      </c>
      <c r="C432" s="4103" t="s">
        <v>3742</v>
      </c>
      <c r="D432" s="4103"/>
      <c r="E432" s="4103"/>
      <c r="F432" s="4103"/>
      <c r="G432" s="4103"/>
      <c r="H432" s="4103"/>
      <c r="I432" s="4103"/>
      <c r="J432" s="4103"/>
      <c r="K432" s="4103"/>
      <c r="L432" s="4103"/>
      <c r="M432" s="4103"/>
      <c r="N432" s="4103"/>
      <c r="O432" s="128" t="s">
        <v>1611</v>
      </c>
      <c r="P432" s="430"/>
      <c r="Q432" s="421"/>
    </row>
    <row r="433" spans="1:31" s="35" customFormat="1" ht="12" customHeight="1">
      <c r="B433" s="1161"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3" t="s">
        <v>3744</v>
      </c>
      <c r="D434" s="4103"/>
      <c r="E434" s="4103"/>
      <c r="F434" s="4103"/>
      <c r="G434" s="4103"/>
      <c r="H434" s="4103"/>
      <c r="I434" s="4103"/>
      <c r="J434" s="4103"/>
      <c r="K434" s="4103"/>
      <c r="L434" s="4103"/>
      <c r="M434" s="4103"/>
      <c r="N434" s="4103"/>
      <c r="O434" s="128" t="s">
        <v>1613</v>
      </c>
      <c r="P434" s="430"/>
      <c r="Q434" s="421"/>
    </row>
    <row r="435" spans="1:31" s="102" customFormat="1" ht="22.5" customHeight="1">
      <c r="B435" s="371" t="s">
        <v>2176</v>
      </c>
      <c r="C435" s="4103" t="s">
        <v>3745</v>
      </c>
      <c r="D435" s="4103"/>
      <c r="E435" s="4103"/>
      <c r="F435" s="4103"/>
      <c r="G435" s="4103"/>
      <c r="H435" s="4103"/>
      <c r="I435" s="4103"/>
      <c r="J435" s="4103"/>
      <c r="K435" s="4103"/>
      <c r="L435" s="4103"/>
      <c r="M435" s="4103"/>
      <c r="N435" s="4103"/>
      <c r="O435" s="128" t="s">
        <v>2176</v>
      </c>
      <c r="P435" s="430"/>
      <c r="Q435" s="421"/>
    </row>
    <row r="436" spans="1:31" s="102" customFormat="1" ht="22.5" customHeight="1">
      <c r="A436" s="110" t="s">
        <v>697</v>
      </c>
      <c r="B436" s="4103" t="s">
        <v>3228</v>
      </c>
      <c r="C436" s="4103"/>
      <c r="D436" s="4103"/>
      <c r="E436" s="4103"/>
      <c r="F436" s="4103"/>
      <c r="G436" s="4103"/>
      <c r="H436" s="4103"/>
      <c r="I436" s="4103"/>
      <c r="J436" s="4103"/>
      <c r="K436" s="4103"/>
      <c r="L436" s="4103"/>
      <c r="M436" s="4103"/>
      <c r="N436" s="4103"/>
      <c r="O436" s="128" t="s">
        <v>697</v>
      </c>
      <c r="P436" s="430"/>
      <c r="Q436" s="421"/>
    </row>
    <row r="437" spans="1:31" s="102" customFormat="1" ht="22.5" customHeight="1">
      <c r="A437" s="110" t="s">
        <v>1957</v>
      </c>
      <c r="B437" s="4103" t="s">
        <v>3792</v>
      </c>
      <c r="C437" s="4103"/>
      <c r="D437" s="4103"/>
      <c r="E437" s="4103"/>
      <c r="F437" s="4103"/>
      <c r="G437" s="4103"/>
      <c r="H437" s="4103"/>
      <c r="I437" s="4103"/>
      <c r="J437" s="4103"/>
      <c r="K437" s="4103"/>
      <c r="L437" s="4103"/>
      <c r="M437" s="4103"/>
      <c r="N437" s="4103"/>
      <c r="O437" s="128" t="s">
        <v>1957</v>
      </c>
      <c r="P437" s="430"/>
      <c r="Q437" s="421"/>
    </row>
    <row r="438" spans="1:31" s="102" customFormat="1" ht="21.75" customHeight="1">
      <c r="A438" s="110" t="s">
        <v>1609</v>
      </c>
      <c r="B438" s="4103" t="s">
        <v>3793</v>
      </c>
      <c r="C438" s="4103"/>
      <c r="D438" s="4103"/>
      <c r="E438" s="4103"/>
      <c r="F438" s="4103"/>
      <c r="G438" s="4103"/>
      <c r="H438" s="4103"/>
      <c r="I438" s="4103"/>
      <c r="J438" s="4103"/>
      <c r="K438" s="4103"/>
      <c r="L438" s="4103"/>
      <c r="M438" s="4103"/>
      <c r="N438" s="4103"/>
      <c r="O438" s="128" t="s">
        <v>1609</v>
      </c>
      <c r="P438" s="430"/>
      <c r="Q438" s="421"/>
    </row>
    <row r="439" spans="1:31" s="333" customFormat="1" ht="21.75" customHeight="1">
      <c r="A439" s="110" t="s">
        <v>1610</v>
      </c>
      <c r="B439" s="4103" t="s">
        <v>3826</v>
      </c>
      <c r="C439" s="4103"/>
      <c r="D439" s="4103"/>
      <c r="E439" s="4103"/>
      <c r="F439" s="4103"/>
      <c r="G439" s="4103"/>
      <c r="H439" s="4103"/>
      <c r="I439" s="4103"/>
      <c r="J439" s="4103"/>
      <c r="K439" s="4103"/>
      <c r="L439" s="4103"/>
      <c r="M439" s="4103"/>
      <c r="N439" s="4103"/>
      <c r="O439" s="128" t="s">
        <v>1610</v>
      </c>
      <c r="P439" s="883"/>
      <c r="Q439" s="882"/>
    </row>
    <row r="440" spans="1:31" ht="11.25" customHeight="1">
      <c r="B440" s="109" t="s">
        <v>3156</v>
      </c>
      <c r="D440" s="109"/>
      <c r="E440" s="109"/>
      <c r="F440" s="109"/>
      <c r="G440" s="109"/>
      <c r="H440" s="33"/>
      <c r="I440" s="878"/>
      <c r="J440" s="878"/>
      <c r="K440" s="878"/>
      <c r="L440" s="674"/>
      <c r="M440" s="674"/>
      <c r="N440" s="674"/>
      <c r="O440" s="674"/>
      <c r="P440" s="674"/>
      <c r="Q440" s="674"/>
    </row>
    <row r="441" spans="1:31" ht="12.75" customHeight="1">
      <c r="A441" s="4117"/>
      <c r="B441" s="4118"/>
      <c r="C441" s="4118"/>
      <c r="D441" s="4118"/>
      <c r="E441" s="4118"/>
      <c r="F441" s="4118"/>
      <c r="G441" s="4118"/>
      <c r="H441" s="4118"/>
      <c r="I441" s="4118"/>
      <c r="J441" s="4118"/>
      <c r="K441" s="4118"/>
      <c r="L441" s="4118"/>
      <c r="M441" s="4118"/>
      <c r="N441" s="4118"/>
      <c r="O441" s="4118"/>
      <c r="P441" s="4118"/>
      <c r="Q441" s="4119"/>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4"/>
      <c r="B443" s="4115"/>
      <c r="C443" s="4115"/>
      <c r="D443" s="4115"/>
      <c r="E443" s="4115"/>
      <c r="F443" s="4115"/>
      <c r="G443" s="4115"/>
      <c r="H443" s="4115"/>
      <c r="I443" s="4115"/>
      <c r="J443" s="4115"/>
      <c r="K443" s="4115"/>
      <c r="L443" s="4115"/>
      <c r="M443" s="4115"/>
      <c r="N443" s="4115"/>
      <c r="O443" s="4115"/>
      <c r="P443" s="4115"/>
      <c r="Q443" s="4116"/>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3678</v>
      </c>
      <c r="B445" s="4"/>
      <c r="C445" s="4" t="s">
        <v>2429</v>
      </c>
      <c r="D445" s="66"/>
      <c r="E445" s="874"/>
      <c r="F445" s="874"/>
      <c r="G445" s="874"/>
      <c r="H445" s="874"/>
      <c r="J445" s="874"/>
      <c r="K445" s="874"/>
      <c r="L445" s="874"/>
      <c r="M445" s="874"/>
      <c r="O445" s="101" t="s">
        <v>1726</v>
      </c>
      <c r="P445" s="4109"/>
      <c r="Q445" s="4110"/>
    </row>
    <row r="446" spans="1:31" ht="11.25" customHeight="1">
      <c r="A446" s="2"/>
      <c r="B446" s="109" t="s">
        <v>3156</v>
      </c>
      <c r="D446" s="109"/>
      <c r="E446" s="109"/>
      <c r="F446" s="109"/>
      <c r="G446" s="109"/>
      <c r="H446" s="33"/>
      <c r="I446" s="878"/>
      <c r="J446" s="878"/>
      <c r="K446" s="878"/>
      <c r="L446" s="674"/>
      <c r="M446" s="674"/>
      <c r="N446" s="674"/>
      <c r="O446" s="674"/>
      <c r="P446" s="674"/>
      <c r="Q446" s="674"/>
    </row>
    <row r="447" spans="1:31" ht="12" customHeight="1">
      <c r="A447" s="4117"/>
      <c r="B447" s="4118"/>
      <c r="C447" s="4118"/>
      <c r="D447" s="4118"/>
      <c r="E447" s="4118"/>
      <c r="F447" s="4118"/>
      <c r="G447" s="4118"/>
      <c r="H447" s="4118"/>
      <c r="I447" s="4118"/>
      <c r="J447" s="4118"/>
      <c r="K447" s="4118"/>
      <c r="L447" s="4118"/>
      <c r="M447" s="4118"/>
      <c r="N447" s="4118"/>
      <c r="O447" s="4118"/>
      <c r="P447" s="4118"/>
      <c r="Q447" s="4119"/>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4"/>
      <c r="B449" s="4115"/>
      <c r="C449" s="4115"/>
      <c r="D449" s="4115"/>
      <c r="E449" s="4115"/>
      <c r="F449" s="4115"/>
      <c r="G449" s="4115"/>
      <c r="H449" s="4115"/>
      <c r="I449" s="4115"/>
      <c r="J449" s="4115"/>
      <c r="K449" s="4115"/>
      <c r="L449" s="4115"/>
      <c r="M449" s="4115"/>
      <c r="N449" s="4115"/>
      <c r="O449" s="4115"/>
      <c r="P449" s="4115"/>
      <c r="Q449" s="4116"/>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3915</v>
      </c>
      <c r="P456" s="1786"/>
      <c r="R456" s="44"/>
    </row>
    <row r="457" spans="1:18" s="794" customFormat="1" ht="11.25">
      <c r="A457" s="44"/>
      <c r="B457" s="44"/>
      <c r="C457" s="1787" t="s">
        <v>1310</v>
      </c>
      <c r="J457" s="1785" t="s">
        <v>1948</v>
      </c>
      <c r="N457" s="795"/>
      <c r="O457" s="1785" t="s">
        <v>3916</v>
      </c>
      <c r="P457" s="1786"/>
      <c r="R457" s="44"/>
    </row>
    <row r="458" spans="1:18" s="794" customFormat="1" ht="11.25">
      <c r="A458" s="44"/>
      <c r="B458" s="44"/>
      <c r="C458" s="1787" t="s">
        <v>1311</v>
      </c>
      <c r="J458" s="1785" t="s">
        <v>1535</v>
      </c>
      <c r="N458" s="795"/>
      <c r="O458" s="1785" t="s">
        <v>3917</v>
      </c>
      <c r="P458" s="1786"/>
      <c r="R458" s="44"/>
    </row>
    <row r="459" spans="1:18" s="794" customFormat="1" ht="11.25">
      <c r="A459" s="44"/>
      <c r="B459" s="44"/>
      <c r="C459" s="1787" t="s">
        <v>1975</v>
      </c>
      <c r="J459" s="1785" t="s">
        <v>1119</v>
      </c>
      <c r="N459" s="795"/>
      <c r="O459" s="1785" t="s">
        <v>3921</v>
      </c>
      <c r="P459" s="1786"/>
      <c r="R459" s="44"/>
    </row>
    <row r="460" spans="1:18" s="794" customFormat="1" ht="11.25">
      <c r="A460" s="44"/>
      <c r="B460" s="44"/>
      <c r="C460" s="1787" t="s">
        <v>1307</v>
      </c>
      <c r="J460" s="1785" t="s">
        <v>548</v>
      </c>
      <c r="N460" s="795"/>
      <c r="O460" s="1785" t="s">
        <v>3918</v>
      </c>
      <c r="P460" s="1786"/>
      <c r="R460" s="44"/>
    </row>
    <row r="461" spans="1:18" s="794" customFormat="1" ht="11.25">
      <c r="A461" s="44"/>
      <c r="B461" s="44"/>
      <c r="C461" s="1787" t="s">
        <v>1308</v>
      </c>
      <c r="J461" s="1785" t="s">
        <v>1541</v>
      </c>
      <c r="N461" s="795"/>
      <c r="O461" s="1785" t="s">
        <v>3919</v>
      </c>
      <c r="P461" s="1786"/>
      <c r="R461" s="44"/>
    </row>
    <row r="462" spans="1:18" s="794" customFormat="1" ht="11.25">
      <c r="A462" s="44"/>
      <c r="B462" s="44"/>
      <c r="C462" s="1787" t="s">
        <v>1970</v>
      </c>
      <c r="J462" s="1785" t="s">
        <v>1116</v>
      </c>
      <c r="N462" s="795"/>
      <c r="O462" s="1785" t="s">
        <v>3920</v>
      </c>
      <c r="P462" s="1786"/>
      <c r="R462" s="44"/>
    </row>
    <row r="463" spans="1:18" s="794" customFormat="1" ht="11.25">
      <c r="A463" s="44"/>
      <c r="B463" s="44"/>
      <c r="C463" s="1787" t="s">
        <v>1971</v>
      </c>
      <c r="J463" s="1785" t="s">
        <v>1115</v>
      </c>
      <c r="N463" s="795"/>
      <c r="O463" s="794" t="s">
        <v>3194</v>
      </c>
      <c r="P463" s="1786"/>
      <c r="R463" s="44"/>
    </row>
    <row r="464" spans="1:18" s="794" customFormat="1" ht="11.25">
      <c r="A464" s="44"/>
      <c r="B464" s="44"/>
      <c r="C464" s="1787" t="s">
        <v>1972</v>
      </c>
      <c r="J464" s="1785" t="s">
        <v>1601</v>
      </c>
      <c r="N464" s="795"/>
      <c r="O464" s="794" t="s">
        <v>3195</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3165</v>
      </c>
      <c r="R490" s="44"/>
    </row>
    <row r="491" spans="1:18" s="794" customFormat="1" ht="11.25">
      <c r="A491" s="44"/>
      <c r="B491" s="44"/>
      <c r="C491" s="1787" t="s">
        <v>1129</v>
      </c>
      <c r="K491" s="794" t="s">
        <v>4098</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4201</v>
      </c>
      <c r="R495" s="44"/>
    </row>
    <row r="496" spans="1:18" s="794" customFormat="1" ht="11.25">
      <c r="A496" s="44"/>
      <c r="B496" s="44"/>
      <c r="C496" s="794" t="s">
        <v>1427</v>
      </c>
      <c r="K496" s="794" t="s">
        <v>4200</v>
      </c>
      <c r="R496" s="44"/>
    </row>
    <row r="497" spans="1:18" s="794" customFormat="1" ht="11.25">
      <c r="A497" s="44"/>
      <c r="B497" s="44"/>
      <c r="C497" s="794" t="s">
        <v>1960</v>
      </c>
      <c r="K497" s="794" t="s">
        <v>4099</v>
      </c>
      <c r="R497" s="44"/>
    </row>
    <row r="498" spans="1:18" s="794" customFormat="1" ht="11.25">
      <c r="A498" s="44"/>
      <c r="B498" s="44"/>
      <c r="C498" s="794" t="s">
        <v>162</v>
      </c>
      <c r="K498" s="794" t="s">
        <v>4202</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3727</v>
      </c>
      <c r="R506" s="44"/>
    </row>
    <row r="507" spans="1:18" s="794" customFormat="1" ht="11.25">
      <c r="A507" s="44"/>
      <c r="B507" s="44"/>
      <c r="C507" s="794" t="s">
        <v>949</v>
      </c>
      <c r="M507" s="794" t="s">
        <v>949</v>
      </c>
      <c r="R507" s="44"/>
    </row>
    <row r="508" spans="1:18" s="794" customFormat="1" ht="11.25">
      <c r="A508" s="44"/>
      <c r="B508" s="44"/>
      <c r="C508" s="794" t="s">
        <v>1933</v>
      </c>
      <c r="M508" s="794" t="s">
        <v>3724</v>
      </c>
      <c r="R508" s="44"/>
    </row>
    <row r="509" spans="1:18" s="794" customFormat="1" ht="11.25">
      <c r="A509" s="44"/>
      <c r="B509" s="44"/>
      <c r="C509" s="794" t="s">
        <v>2335</v>
      </c>
      <c r="M509" s="794" t="s">
        <v>3755</v>
      </c>
      <c r="R509" s="44"/>
    </row>
    <row r="510" spans="1:18" s="794" customFormat="1" ht="11.25">
      <c r="A510" s="44"/>
      <c r="B510" s="44"/>
      <c r="C510" s="794" t="s">
        <v>1934</v>
      </c>
      <c r="M510" s="794" t="s">
        <v>1538</v>
      </c>
      <c r="R510" s="44"/>
    </row>
    <row r="511" spans="1:18" s="794" customFormat="1" ht="11.25">
      <c r="A511" s="44"/>
      <c r="B511" s="44"/>
      <c r="C511" s="794" t="s">
        <v>1805</v>
      </c>
      <c r="M511" s="794" t="s">
        <v>3725</v>
      </c>
      <c r="R511" s="44"/>
    </row>
    <row r="512" spans="1:18" s="794" customFormat="1" ht="11.25">
      <c r="A512" s="44"/>
      <c r="B512" s="44"/>
      <c r="C512" s="794" t="s">
        <v>547</v>
      </c>
      <c r="M512" s="794" t="s">
        <v>3774</v>
      </c>
      <c r="R512" s="44"/>
    </row>
    <row r="513" spans="1:18" s="794" customFormat="1" ht="11.25">
      <c r="A513" s="44"/>
      <c r="B513" s="44"/>
      <c r="C513" s="794" t="s">
        <v>2030</v>
      </c>
      <c r="M513" s="794" t="s">
        <v>3775</v>
      </c>
      <c r="R513" s="44"/>
    </row>
    <row r="514" spans="1:18" s="794" customFormat="1" ht="11.25">
      <c r="A514" s="44"/>
      <c r="B514" s="44"/>
      <c r="C514" s="794" t="s">
        <v>30</v>
      </c>
      <c r="M514" s="794" t="s">
        <v>3726</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3177</v>
      </c>
      <c r="R518" s="44"/>
    </row>
    <row r="519" spans="1:18" s="794" customFormat="1" ht="11.25">
      <c r="A519" s="44"/>
      <c r="B519" s="44"/>
      <c r="M519" s="794" t="s">
        <v>3249</v>
      </c>
      <c r="R519" s="44"/>
    </row>
    <row r="520" spans="1:18" s="794" customFormat="1" ht="11.25">
      <c r="A520" s="44"/>
      <c r="B520" s="44"/>
      <c r="M520" s="794" t="s">
        <v>3244</v>
      </c>
      <c r="R520" s="44"/>
    </row>
    <row r="521" spans="1:18" s="794" customFormat="1" ht="11.25">
      <c r="A521" s="44"/>
      <c r="B521" s="44"/>
      <c r="M521" s="794" t="s">
        <v>3170</v>
      </c>
      <c r="R521" s="44"/>
    </row>
    <row r="522" spans="1:18" s="794" customFormat="1" ht="11.25">
      <c r="A522" s="44"/>
      <c r="B522" s="44"/>
      <c r="M522" s="794" t="s">
        <v>3240</v>
      </c>
      <c r="R522" s="44"/>
    </row>
    <row r="523" spans="1:18" s="794" customFormat="1" ht="11.25">
      <c r="A523" s="44"/>
      <c r="B523" s="44"/>
      <c r="D523" s="1789" t="s">
        <v>1883</v>
      </c>
      <c r="M523" s="794" t="s">
        <v>3171</v>
      </c>
      <c r="R523" s="44"/>
    </row>
    <row r="524" spans="1:18" s="794" customFormat="1">
      <c r="A524" s="44"/>
      <c r="B524" s="44"/>
      <c r="J524" s="356"/>
      <c r="M524" s="794" t="s">
        <v>3241</v>
      </c>
      <c r="R524" s="44"/>
    </row>
    <row r="525" spans="1:18" s="356" customFormat="1">
      <c r="A525" s="115"/>
      <c r="B525" s="115"/>
      <c r="M525" s="794" t="s">
        <v>3172</v>
      </c>
      <c r="O525" s="794"/>
      <c r="R525" s="115"/>
    </row>
    <row r="526" spans="1:18" s="356" customFormat="1">
      <c r="A526" s="115"/>
      <c r="B526" s="115"/>
      <c r="M526" s="794" t="s">
        <v>3242</v>
      </c>
      <c r="R526" s="115"/>
    </row>
    <row r="527" spans="1:18" s="356" customFormat="1">
      <c r="A527" s="115"/>
      <c r="B527" s="115"/>
      <c r="M527" s="794" t="s">
        <v>3245</v>
      </c>
      <c r="R527" s="115"/>
    </row>
    <row r="528" spans="1:18" s="356" customFormat="1">
      <c r="A528" s="115"/>
      <c r="B528" s="115"/>
      <c r="M528" s="794" t="s">
        <v>3173</v>
      </c>
      <c r="R528" s="115"/>
    </row>
    <row r="529" spans="1:22" s="356" customFormat="1">
      <c r="A529" s="115"/>
      <c r="B529" s="115"/>
      <c r="M529" s="794" t="s">
        <v>3174</v>
      </c>
      <c r="R529" s="115"/>
    </row>
    <row r="530" spans="1:22" s="356" customFormat="1">
      <c r="A530" s="115"/>
      <c r="B530" s="115"/>
      <c r="M530" s="794" t="s">
        <v>3243</v>
      </c>
      <c r="R530" s="115"/>
    </row>
    <row r="531" spans="1:22" s="356" customFormat="1">
      <c r="A531" s="115"/>
      <c r="B531" s="115"/>
      <c r="M531" s="794" t="s">
        <v>3246</v>
      </c>
      <c r="R531" s="115"/>
    </row>
    <row r="532" spans="1:22" s="356" customFormat="1">
      <c r="A532" s="115"/>
      <c r="B532" s="115"/>
      <c r="M532" s="794" t="s">
        <v>3247</v>
      </c>
      <c r="R532" s="115"/>
    </row>
    <row r="533" spans="1:22" s="356" customFormat="1">
      <c r="A533" s="115"/>
      <c r="B533" s="115"/>
      <c r="M533" s="794" t="s">
        <v>4421</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07" t="s">
        <v>4418</v>
      </c>
      <c r="B2" s="4307"/>
      <c r="C2" s="147"/>
      <c r="D2" s="782">
        <v>2021</v>
      </c>
      <c r="E2" s="144"/>
      <c r="F2" s="4301" t="s">
        <v>2928</v>
      </c>
      <c r="G2" s="4302"/>
      <c r="H2" s="4302"/>
      <c r="I2" s="4302"/>
      <c r="J2" s="4303"/>
      <c r="K2" s="234"/>
      <c r="L2" s="442" t="s">
        <v>3058</v>
      </c>
      <c r="M2" s="234"/>
      <c r="N2" s="4301" t="s">
        <v>2928</v>
      </c>
      <c r="O2" s="4302"/>
      <c r="P2" s="4302"/>
      <c r="Q2" s="4302"/>
      <c r="R2" s="4303"/>
      <c r="S2" s="241"/>
      <c r="T2" s="144"/>
      <c r="U2" s="144"/>
      <c r="V2" s="321"/>
      <c r="W2" s="321"/>
      <c r="X2" s="321"/>
      <c r="AA2" s="68"/>
      <c r="AB2" s="68"/>
    </row>
    <row r="3" spans="1:28" s="145" customFormat="1" ht="11.65" customHeight="1">
      <c r="A3" s="4307"/>
      <c r="B3" s="4307"/>
      <c r="D3" s="443" t="s">
        <v>2395</v>
      </c>
      <c r="E3" s="443" t="s">
        <v>1217</v>
      </c>
      <c r="F3" s="444">
        <v>0</v>
      </c>
      <c r="G3" s="445">
        <v>1</v>
      </c>
      <c r="H3" s="821">
        <v>2</v>
      </c>
      <c r="I3" s="821">
        <v>3</v>
      </c>
      <c r="J3" s="446" t="s">
        <v>2925</v>
      </c>
      <c r="L3" s="443" t="s">
        <v>2395</v>
      </c>
      <c r="M3" s="443" t="s">
        <v>1217</v>
      </c>
      <c r="N3" s="444">
        <v>0</v>
      </c>
      <c r="O3" s="445">
        <v>1</v>
      </c>
      <c r="P3" s="821">
        <v>2</v>
      </c>
      <c r="Q3" s="821">
        <v>3</v>
      </c>
      <c r="R3" s="446" t="s">
        <v>2925</v>
      </c>
      <c r="S3" s="241"/>
      <c r="T3" s="144"/>
      <c r="U3" s="144"/>
      <c r="V3" s="321"/>
      <c r="W3" s="321"/>
      <c r="X3" s="321"/>
      <c r="AA3" s="68"/>
      <c r="AB3" s="68"/>
    </row>
    <row r="4" spans="1:28" s="145" customFormat="1" ht="11.65" customHeight="1">
      <c r="A4" s="4307"/>
      <c r="B4" s="4307"/>
      <c r="D4" s="771" t="s">
        <v>1652</v>
      </c>
      <c r="E4" s="771" t="s">
        <v>2927</v>
      </c>
      <c r="F4" s="772">
        <v>142816</v>
      </c>
      <c r="G4" s="772">
        <v>184662</v>
      </c>
      <c r="H4" s="772">
        <v>220865</v>
      </c>
      <c r="I4" s="772">
        <v>263215</v>
      </c>
      <c r="J4" s="772">
        <v>310038</v>
      </c>
      <c r="L4" s="241" t="s">
        <v>1652</v>
      </c>
      <c r="M4" s="241" t="s">
        <v>2927</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2924</v>
      </c>
      <c r="F5" s="772">
        <v>111333</v>
      </c>
      <c r="G5" s="772">
        <v>155866</v>
      </c>
      <c r="H5" s="772">
        <v>200399</v>
      </c>
      <c r="I5" s="772">
        <v>267199</v>
      </c>
      <c r="J5" s="772">
        <v>333999</v>
      </c>
      <c r="L5" s="241" t="s">
        <v>1652</v>
      </c>
      <c r="M5" s="241" t="s">
        <v>2924</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2922</v>
      </c>
      <c r="F6" s="772">
        <v>123345</v>
      </c>
      <c r="G6" s="772">
        <v>160923</v>
      </c>
      <c r="H6" s="772">
        <v>194869</v>
      </c>
      <c r="I6" s="772">
        <v>237606</v>
      </c>
      <c r="J6" s="772">
        <v>281429</v>
      </c>
      <c r="L6" s="241" t="s">
        <v>1652</v>
      </c>
      <c r="M6" s="241" t="s">
        <v>2922</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2923</v>
      </c>
      <c r="F7" s="772">
        <v>110658</v>
      </c>
      <c r="G7" s="772">
        <v>150909</v>
      </c>
      <c r="H7" s="772">
        <v>191026</v>
      </c>
      <c r="I7" s="772">
        <v>251664</v>
      </c>
      <c r="J7" s="772">
        <v>311733</v>
      </c>
      <c r="L7" s="241" t="s">
        <v>1652</v>
      </c>
      <c r="M7" s="241" t="s">
        <v>2923</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2927</v>
      </c>
      <c r="F8" s="764">
        <v>141797</v>
      </c>
      <c r="G8" s="764">
        <v>183527</v>
      </c>
      <c r="H8" s="764">
        <v>219633</v>
      </c>
      <c r="I8" s="764">
        <v>261936</v>
      </c>
      <c r="J8" s="764">
        <v>308710</v>
      </c>
      <c r="L8" s="241" t="s">
        <v>159</v>
      </c>
      <c r="M8" s="241" t="s">
        <v>2927</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2924</v>
      </c>
      <c r="F9" s="764">
        <v>110497</v>
      </c>
      <c r="G9" s="764">
        <v>154696</v>
      </c>
      <c r="H9" s="764">
        <v>198895</v>
      </c>
      <c r="I9" s="764">
        <v>265193</v>
      </c>
      <c r="J9" s="764">
        <v>331491</v>
      </c>
      <c r="L9" s="241" t="s">
        <v>159</v>
      </c>
      <c r="M9" s="241" t="s">
        <v>2924</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2922</v>
      </c>
      <c r="F10" s="764">
        <v>121614</v>
      </c>
      <c r="G10" s="764">
        <v>158920</v>
      </c>
      <c r="H10" s="764">
        <v>192685</v>
      </c>
      <c r="I10" s="764">
        <v>235391</v>
      </c>
      <c r="J10" s="764">
        <v>279054</v>
      </c>
      <c r="L10" s="241" t="s">
        <v>159</v>
      </c>
      <c r="M10" s="241" t="s">
        <v>2922</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2923</v>
      </c>
      <c r="F11" s="764">
        <v>108520</v>
      </c>
      <c r="G11" s="764">
        <v>147769</v>
      </c>
      <c r="H11" s="764">
        <v>186880</v>
      </c>
      <c r="I11" s="764">
        <v>246024</v>
      </c>
      <c r="J11" s="764">
        <v>304578</v>
      </c>
      <c r="L11" s="241" t="s">
        <v>159</v>
      </c>
      <c r="M11" s="241" t="s">
        <v>2923</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2927</v>
      </c>
      <c r="F12" s="762">
        <v>155687</v>
      </c>
      <c r="G12" s="762">
        <v>201438</v>
      </c>
      <c r="H12" s="762">
        <v>241022</v>
      </c>
      <c r="I12" s="762">
        <v>287374</v>
      </c>
      <c r="J12" s="762">
        <v>338625</v>
      </c>
      <c r="L12" s="441" t="s">
        <v>1130</v>
      </c>
      <c r="M12" s="441" t="s">
        <v>2927</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2924</v>
      </c>
      <c r="F13" s="762">
        <v>121337</v>
      </c>
      <c r="G13" s="762">
        <v>169871</v>
      </c>
      <c r="H13" s="762">
        <v>218406</v>
      </c>
      <c r="I13" s="762">
        <v>291208</v>
      </c>
      <c r="J13" s="762">
        <v>364010</v>
      </c>
      <c r="L13" s="441" t="s">
        <v>1130</v>
      </c>
      <c r="M13" s="441" t="s">
        <v>2924</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2922</v>
      </c>
      <c r="F14" s="762">
        <v>133842</v>
      </c>
      <c r="G14" s="762">
        <v>174804</v>
      </c>
      <c r="H14" s="762">
        <v>211854</v>
      </c>
      <c r="I14" s="762">
        <v>258642</v>
      </c>
      <c r="J14" s="762">
        <v>306526</v>
      </c>
      <c r="L14" s="441" t="s">
        <v>1130</v>
      </c>
      <c r="M14" s="441" t="s">
        <v>2922</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2923</v>
      </c>
      <c r="F15" s="762">
        <v>119649</v>
      </c>
      <c r="G15" s="762">
        <v>163008</v>
      </c>
      <c r="H15" s="762">
        <v>206217</v>
      </c>
      <c r="I15" s="762">
        <v>271547</v>
      </c>
      <c r="J15" s="762">
        <v>336239</v>
      </c>
      <c r="L15" s="441" t="s">
        <v>1130</v>
      </c>
      <c r="M15" s="441" t="s">
        <v>2923</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2927</v>
      </c>
      <c r="F16" s="766">
        <v>145521</v>
      </c>
      <c r="G16" s="766">
        <v>188031</v>
      </c>
      <c r="H16" s="766">
        <v>224805</v>
      </c>
      <c r="I16" s="766">
        <v>267776</v>
      </c>
      <c r="J16" s="766">
        <v>315283</v>
      </c>
      <c r="L16" s="441" t="s">
        <v>1250</v>
      </c>
      <c r="M16" s="441" t="s">
        <v>2927</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2924</v>
      </c>
      <c r="F17" s="766">
        <v>113472</v>
      </c>
      <c r="G17" s="766">
        <v>158861</v>
      </c>
      <c r="H17" s="766">
        <v>204249</v>
      </c>
      <c r="I17" s="766">
        <v>272333</v>
      </c>
      <c r="J17" s="766">
        <v>340416</v>
      </c>
      <c r="L17" s="441" t="s">
        <v>1250</v>
      </c>
      <c r="M17" s="441" t="s">
        <v>2924</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2922</v>
      </c>
      <c r="F18" s="766">
        <v>126289</v>
      </c>
      <c r="G18" s="766">
        <v>164581</v>
      </c>
      <c r="H18" s="766">
        <v>199126</v>
      </c>
      <c r="I18" s="766">
        <v>242479</v>
      </c>
      <c r="J18" s="766">
        <v>287022</v>
      </c>
      <c r="L18" s="441" t="s">
        <v>1250</v>
      </c>
      <c r="M18" s="441" t="s">
        <v>2922</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2923</v>
      </c>
      <c r="F19" s="766">
        <v>113715</v>
      </c>
      <c r="G19" s="766">
        <v>155238</v>
      </c>
      <c r="H19" s="766">
        <v>196629</v>
      </c>
      <c r="I19" s="766">
        <v>259171</v>
      </c>
      <c r="J19" s="766">
        <v>321151</v>
      </c>
      <c r="L19" s="441" t="s">
        <v>1250</v>
      </c>
      <c r="M19" s="441" t="s">
        <v>2923</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2927</v>
      </c>
      <c r="F20" s="650">
        <v>151294</v>
      </c>
      <c r="G20" s="650">
        <v>195836</v>
      </c>
      <c r="H20" s="650">
        <v>234374</v>
      </c>
      <c r="I20" s="650">
        <v>279532</v>
      </c>
      <c r="J20" s="650">
        <v>329464</v>
      </c>
      <c r="L20" s="241" t="s">
        <v>1422</v>
      </c>
      <c r="M20" s="441" t="s">
        <v>2927</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2924</v>
      </c>
      <c r="F21" s="650">
        <v>117895</v>
      </c>
      <c r="G21" s="650">
        <v>165052</v>
      </c>
      <c r="H21" s="650">
        <v>212210</v>
      </c>
      <c r="I21" s="650">
        <v>282947</v>
      </c>
      <c r="J21" s="650">
        <v>353684</v>
      </c>
      <c r="L21" s="241" t="s">
        <v>1422</v>
      </c>
      <c r="M21" s="441" t="s">
        <v>2924</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2922</v>
      </c>
      <c r="F22" s="650">
        <v>129687</v>
      </c>
      <c r="G22" s="650">
        <v>169491</v>
      </c>
      <c r="H22" s="650">
        <v>205524</v>
      </c>
      <c r="I22" s="650">
        <v>251113</v>
      </c>
      <c r="J22" s="650">
        <v>297714</v>
      </c>
      <c r="L22" s="241" t="s">
        <v>1422</v>
      </c>
      <c r="M22" s="441" t="s">
        <v>2922</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2923</v>
      </c>
      <c r="F23" s="650">
        <v>115673</v>
      </c>
      <c r="G23" s="650">
        <v>157490</v>
      </c>
      <c r="H23" s="650">
        <v>199159</v>
      </c>
      <c r="I23" s="650">
        <v>262174</v>
      </c>
      <c r="J23" s="650">
        <v>324557</v>
      </c>
      <c r="L23" s="241" t="s">
        <v>1422</v>
      </c>
      <c r="M23" s="441" t="s">
        <v>2923</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2927</v>
      </c>
      <c r="F24" s="768">
        <v>142816</v>
      </c>
      <c r="G24" s="768">
        <v>184662</v>
      </c>
      <c r="H24" s="768">
        <v>220865</v>
      </c>
      <c r="I24" s="768">
        <v>263215</v>
      </c>
      <c r="J24" s="768">
        <v>310038</v>
      </c>
      <c r="L24" s="241" t="s">
        <v>154</v>
      </c>
      <c r="M24" s="241" t="s">
        <v>2927</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2924</v>
      </c>
      <c r="F25" s="768">
        <v>111333</v>
      </c>
      <c r="G25" s="768">
        <v>155866</v>
      </c>
      <c r="H25" s="768">
        <v>200399</v>
      </c>
      <c r="I25" s="768">
        <v>267199</v>
      </c>
      <c r="J25" s="768">
        <v>333999</v>
      </c>
      <c r="L25" s="241" t="s">
        <v>154</v>
      </c>
      <c r="M25" s="241" t="s">
        <v>2924</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2922</v>
      </c>
      <c r="F26" s="768">
        <v>123345</v>
      </c>
      <c r="G26" s="768">
        <v>160923</v>
      </c>
      <c r="H26" s="768">
        <v>194869</v>
      </c>
      <c r="I26" s="768">
        <v>237606</v>
      </c>
      <c r="J26" s="768">
        <v>281429</v>
      </c>
      <c r="L26" s="241" t="s">
        <v>154</v>
      </c>
      <c r="M26" s="241" t="s">
        <v>2922</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2923</v>
      </c>
      <c r="F27" s="768">
        <v>110658</v>
      </c>
      <c r="G27" s="768">
        <v>150909</v>
      </c>
      <c r="H27" s="768">
        <v>191026</v>
      </c>
      <c r="I27" s="768">
        <v>251664</v>
      </c>
      <c r="J27" s="768">
        <v>311733</v>
      </c>
      <c r="L27" s="241" t="s">
        <v>154</v>
      </c>
      <c r="M27" s="241" t="s">
        <v>2923</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2927</v>
      </c>
      <c r="F28" s="770">
        <v>145346</v>
      </c>
      <c r="G28" s="770">
        <v>188013</v>
      </c>
      <c r="H28" s="770">
        <v>224927</v>
      </c>
      <c r="I28" s="770">
        <v>268137</v>
      </c>
      <c r="J28" s="770">
        <v>315913</v>
      </c>
      <c r="L28" s="441" t="s">
        <v>1240</v>
      </c>
      <c r="M28" s="441" t="s">
        <v>2927</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2924</v>
      </c>
      <c r="F29" s="770">
        <v>113288</v>
      </c>
      <c r="G29" s="770">
        <v>158603</v>
      </c>
      <c r="H29" s="770">
        <v>203918</v>
      </c>
      <c r="I29" s="770">
        <v>271890</v>
      </c>
      <c r="J29" s="770">
        <v>339863</v>
      </c>
      <c r="L29" s="441" t="s">
        <v>1240</v>
      </c>
      <c r="M29" s="441" t="s">
        <v>2924</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2922</v>
      </c>
      <c r="F30" s="770">
        <v>125163</v>
      </c>
      <c r="G30" s="770">
        <v>163405</v>
      </c>
      <c r="H30" s="770">
        <v>197979</v>
      </c>
      <c r="I30" s="770">
        <v>241592</v>
      </c>
      <c r="J30" s="770">
        <v>286257</v>
      </c>
      <c r="L30" s="441" t="s">
        <v>1240</v>
      </c>
      <c r="M30" s="441" t="s">
        <v>2922</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2923</v>
      </c>
      <c r="F31" s="770">
        <v>112036</v>
      </c>
      <c r="G31" s="770">
        <v>152693</v>
      </c>
      <c r="H31" s="770">
        <v>193210</v>
      </c>
      <c r="I31" s="770">
        <v>254464</v>
      </c>
      <c r="J31" s="770">
        <v>315128</v>
      </c>
      <c r="L31" s="441" t="s">
        <v>1240</v>
      </c>
      <c r="M31" s="441" t="s">
        <v>2923</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2927</v>
      </c>
      <c r="F32" s="762">
        <v>148008</v>
      </c>
      <c r="G32" s="762">
        <v>191377</v>
      </c>
      <c r="H32" s="762">
        <v>228898</v>
      </c>
      <c r="I32" s="762">
        <v>272788</v>
      </c>
      <c r="J32" s="762">
        <v>321315</v>
      </c>
      <c r="L32" s="441" t="s">
        <v>1246</v>
      </c>
      <c r="M32" s="441" t="s">
        <v>2927</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2924</v>
      </c>
      <c r="F33" s="762">
        <v>115381</v>
      </c>
      <c r="G33" s="762">
        <v>161533</v>
      </c>
      <c r="H33" s="762">
        <v>207685</v>
      </c>
      <c r="I33" s="762">
        <v>276913</v>
      </c>
      <c r="J33" s="762">
        <v>346142</v>
      </c>
      <c r="L33" s="441" t="s">
        <v>1246</v>
      </c>
      <c r="M33" s="441" t="s">
        <v>2924</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2922</v>
      </c>
      <c r="F34" s="762">
        <v>127825</v>
      </c>
      <c r="G34" s="762">
        <v>166769</v>
      </c>
      <c r="H34" s="762">
        <v>201950</v>
      </c>
      <c r="I34" s="762">
        <v>246243</v>
      </c>
      <c r="J34" s="762">
        <v>291659</v>
      </c>
      <c r="L34" s="441" t="s">
        <v>1246</v>
      </c>
      <c r="M34" s="441" t="s">
        <v>2922</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2923</v>
      </c>
      <c r="F35" s="762">
        <v>114674</v>
      </c>
      <c r="G35" s="762">
        <v>156385</v>
      </c>
      <c r="H35" s="762">
        <v>197957</v>
      </c>
      <c r="I35" s="762">
        <v>260794</v>
      </c>
      <c r="J35" s="762">
        <v>323041</v>
      </c>
      <c r="L35" s="441" t="s">
        <v>1246</v>
      </c>
      <c r="M35" s="441" t="s">
        <v>2923</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2927</v>
      </c>
      <c r="F36" s="766">
        <v>135717</v>
      </c>
      <c r="G36" s="766">
        <v>175691</v>
      </c>
      <c r="H36" s="766">
        <v>210278</v>
      </c>
      <c r="I36" s="766">
        <v>250813</v>
      </c>
      <c r="J36" s="766">
        <v>295633</v>
      </c>
      <c r="L36" s="441" t="s">
        <v>1575</v>
      </c>
      <c r="M36" s="441" t="s">
        <v>2927</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2924</v>
      </c>
      <c r="F37" s="766">
        <v>105752</v>
      </c>
      <c r="G37" s="766">
        <v>148052</v>
      </c>
      <c r="H37" s="766">
        <v>190353</v>
      </c>
      <c r="I37" s="766">
        <v>253804</v>
      </c>
      <c r="J37" s="766">
        <v>317255</v>
      </c>
      <c r="L37" s="441" t="s">
        <v>1575</v>
      </c>
      <c r="M37" s="441" t="s">
        <v>2924</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2922</v>
      </c>
      <c r="F38" s="766">
        <v>116246</v>
      </c>
      <c r="G38" s="766">
        <v>151952</v>
      </c>
      <c r="H38" s="766">
        <v>184281</v>
      </c>
      <c r="I38" s="766">
        <v>225204</v>
      </c>
      <c r="J38" s="766">
        <v>267023</v>
      </c>
      <c r="L38" s="441" t="s">
        <v>1575</v>
      </c>
      <c r="M38" s="441" t="s">
        <v>2922</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2923</v>
      </c>
      <c r="F39" s="766">
        <v>103624</v>
      </c>
      <c r="G39" s="766">
        <v>141062</v>
      </c>
      <c r="H39" s="766">
        <v>178366</v>
      </c>
      <c r="I39" s="766">
        <v>234784</v>
      </c>
      <c r="J39" s="766">
        <v>290632</v>
      </c>
      <c r="L39" s="441" t="s">
        <v>1575</v>
      </c>
      <c r="M39" s="441" t="s">
        <v>2923</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4419</v>
      </c>
      <c r="B42" s="1711"/>
      <c r="C42" s="1711"/>
    </row>
    <row r="44" spans="1:295" s="28" customFormat="1" ht="12.75" customHeight="1">
      <c r="A44" s="2" t="s">
        <v>688</v>
      </c>
      <c r="B44" s="4" t="s">
        <v>2455</v>
      </c>
      <c r="C44" s="4"/>
      <c r="D44" s="4"/>
      <c r="E44" s="874"/>
      <c r="G44" s="487"/>
      <c r="H44" s="487"/>
      <c r="I44" s="487"/>
      <c r="J44" s="35"/>
      <c r="L44" s="488"/>
      <c r="M44" s="488"/>
      <c r="N44" s="488"/>
      <c r="O44" s="101" t="s">
        <v>1726</v>
      </c>
      <c r="P44" s="4109"/>
      <c r="Q44" s="4110"/>
    </row>
    <row r="45" spans="1:295" s="28" customFormat="1" ht="11.25" customHeight="1">
      <c r="A45" s="4317"/>
      <c r="B45" s="4317"/>
      <c r="C45" s="4317"/>
      <c r="D45" s="4317"/>
      <c r="E45" s="4317"/>
      <c r="F45" s="1186"/>
      <c r="G45" s="4330" t="s">
        <v>2459</v>
      </c>
      <c r="H45" s="4331"/>
      <c r="I45" s="66"/>
      <c r="J45" s="35"/>
      <c r="K45" s="4332" t="s">
        <v>3081</v>
      </c>
      <c r="L45" s="4333"/>
      <c r="M45" s="4333"/>
      <c r="N45" s="4334"/>
    </row>
    <row r="46" spans="1:295" s="28" customFormat="1" ht="11.25" customHeight="1">
      <c r="A46" s="4317"/>
      <c r="B46" s="4317"/>
      <c r="C46" s="4317"/>
      <c r="D46" s="4317"/>
      <c r="E46" s="4317"/>
      <c r="F46" s="1186"/>
      <c r="G46" s="4335" t="s">
        <v>333</v>
      </c>
      <c r="H46" s="4336"/>
      <c r="I46" s="66"/>
      <c r="J46" s="35"/>
      <c r="K46" s="4310" t="s">
        <v>3082</v>
      </c>
      <c r="L46" s="4311"/>
      <c r="M46" s="4311"/>
      <c r="N46" s="4312"/>
      <c r="P46" s="404" t="s">
        <v>2468</v>
      </c>
      <c r="Q46" s="74"/>
    </row>
    <row r="47" spans="1:295" s="28" customFormat="1" ht="4.5" customHeight="1">
      <c r="A47" s="1186"/>
      <c r="B47" s="1186"/>
      <c r="C47" s="1186"/>
      <c r="D47" s="1186"/>
      <c r="E47" s="1186"/>
      <c r="F47" s="1186"/>
      <c r="G47" s="66"/>
      <c r="H47" s="66"/>
      <c r="I47" s="66"/>
      <c r="J47" s="35"/>
      <c r="K47" s="4168"/>
      <c r="L47" s="4168"/>
      <c r="M47" s="4168"/>
      <c r="N47" s="4168"/>
      <c r="P47" s="4315" t="s">
        <v>3810</v>
      </c>
      <c r="Q47" s="4315"/>
    </row>
    <row r="48" spans="1:295" s="62" customFormat="1" ht="10.5" customHeight="1">
      <c r="D48" s="490" t="s">
        <v>2458</v>
      </c>
      <c r="E48" s="28"/>
      <c r="F48" s="491" t="s">
        <v>2984</v>
      </c>
      <c r="G48" s="4305" t="s">
        <v>3768</v>
      </c>
      <c r="H48" s="4305"/>
      <c r="I48" s="4305"/>
      <c r="J48" s="28"/>
      <c r="K48" s="491" t="s">
        <v>2984</v>
      </c>
      <c r="L48" s="4305" t="s">
        <v>3767</v>
      </c>
      <c r="M48" s="4305"/>
      <c r="N48" s="4305"/>
      <c r="O48" s="28"/>
      <c r="P48" s="4315"/>
      <c r="Q48" s="4315"/>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9" t="s">
        <v>2927</v>
      </c>
      <c r="B49" s="4309"/>
      <c r="C49" s="4309"/>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6"/>
      <c r="Q49" s="4316"/>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9"/>
      <c r="B50" s="4309"/>
      <c r="C50" s="4309"/>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2" t="e">
        <f>IF(#REF!="","",VLOOKUP(#REF!,#REF!,8,FALSE))</f>
        <v>#REF!</v>
      </c>
      <c r="Q50" s="4323"/>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9"/>
      <c r="B51" s="4309"/>
      <c r="C51" s="4309"/>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4"/>
      <c r="Q51" s="4325"/>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9"/>
      <c r="B52" s="4309"/>
      <c r="C52" s="4309"/>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4" t="s">
        <v>3811</v>
      </c>
      <c r="Q52" s="4274"/>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3" t="e">
        <f>#REF!</f>
        <v>#REF!</v>
      </c>
      <c r="Q53" s="431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7" t="e">
        <f>SUM(F49:F53)</f>
        <v>#REF!</v>
      </c>
      <c r="G54" s="492"/>
      <c r="H54" s="858"/>
      <c r="I54" s="859" t="e">
        <f>SUM(I49:I53)</f>
        <v>#REF!</v>
      </c>
      <c r="J54" s="860"/>
      <c r="K54" s="857" t="e">
        <f>SUM(K49:K53)</f>
        <v>#REF!</v>
      </c>
      <c r="L54" s="860"/>
      <c r="M54" s="858"/>
      <c r="N54" s="859" t="e">
        <f>SUM(N49:N53)</f>
        <v>#REF!</v>
      </c>
      <c r="O54" s="874"/>
      <c r="P54" s="4274" t="s">
        <v>3802</v>
      </c>
      <c r="Q54" s="4274"/>
      <c r="R54" s="4304" t="s">
        <v>4196</v>
      </c>
      <c r="S54" s="4304"/>
      <c r="T54" s="430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9" t="s">
        <v>2922</v>
      </c>
      <c r="B56" s="4309"/>
      <c r="C56" s="4309"/>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3" t="e">
        <f>#REF!-#REF!-#REF!-#REF!-#REF!-#REF!</f>
        <v>#REF!</v>
      </c>
      <c r="Q56" s="431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9"/>
      <c r="B57" s="4309"/>
      <c r="C57" s="4309"/>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4" t="s">
        <v>3277</v>
      </c>
      <c r="Q57" s="3354"/>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9"/>
      <c r="B58" s="4309"/>
      <c r="C58" s="4309"/>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6"/>
      <c r="Q58" s="4327"/>
      <c r="R58" s="327"/>
      <c r="S58" s="4287" t="s">
        <v>3805</v>
      </c>
      <c r="T58" s="4288"/>
      <c r="U58" s="4288"/>
      <c r="V58" s="428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8"/>
      <c r="Q59" s="4329"/>
      <c r="S59" s="4290"/>
      <c r="T59" s="4291"/>
      <c r="U59" s="4291"/>
      <c r="V59" s="429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8" t="s">
        <v>3077</v>
      </c>
      <c r="Q60" s="4308"/>
      <c r="S60" s="4290"/>
      <c r="T60" s="4291"/>
      <c r="U60" s="4291"/>
      <c r="V60" s="429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7" t="e">
        <f>SUM(F56:F60)</f>
        <v>#REF!</v>
      </c>
      <c r="G61" s="492"/>
      <c r="H61" s="858"/>
      <c r="I61" s="859" t="e">
        <f>SUM(I56:I60)</f>
        <v>#REF!</v>
      </c>
      <c r="J61" s="860"/>
      <c r="K61" s="857" t="e">
        <f>SUM(K56:K60)</f>
        <v>#REF!</v>
      </c>
      <c r="L61" s="860"/>
      <c r="M61" s="858"/>
      <c r="N61" s="859" t="e">
        <f>SUM(N56:N60)</f>
        <v>#REF!</v>
      </c>
      <c r="O61" s="440"/>
      <c r="P61" s="863" t="s">
        <v>2881</v>
      </c>
      <c r="Q61" s="863" t="s">
        <v>245</v>
      </c>
      <c r="R61" s="327"/>
      <c r="S61" s="4290"/>
      <c r="T61" s="4291"/>
      <c r="U61" s="4291"/>
      <c r="V61" s="429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90"/>
      <c r="T62" s="4291"/>
      <c r="U62" s="4291"/>
      <c r="V62" s="429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90"/>
      <c r="T63" s="4291"/>
      <c r="U63" s="4291"/>
      <c r="V63" s="429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8" t="s">
        <v>3078</v>
      </c>
      <c r="Q64" s="4308"/>
      <c r="S64" s="4290"/>
      <c r="T64" s="4291"/>
      <c r="U64" s="4291"/>
      <c r="V64" s="429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2881</v>
      </c>
      <c r="Q65" s="863" t="s">
        <v>245</v>
      </c>
      <c r="S65" s="4290"/>
      <c r="T65" s="4291"/>
      <c r="U65" s="4291"/>
      <c r="V65" s="429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90"/>
      <c r="T66" s="4291"/>
      <c r="U66" s="4291"/>
      <c r="V66" s="429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9" t="s">
        <v>2485</v>
      </c>
      <c r="Q67" s="4299"/>
      <c r="S67" s="4290"/>
      <c r="T67" s="4291"/>
      <c r="U67" s="4291"/>
      <c r="V67" s="429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7" t="e">
        <f>SUM(F63:F67)</f>
        <v>#REF!</v>
      </c>
      <c r="G68" s="492"/>
      <c r="H68" s="858"/>
      <c r="I68" s="859" t="e">
        <f>SUM(I63:I67)</f>
        <v>#REF!</v>
      </c>
      <c r="J68" s="860"/>
      <c r="K68" s="857" t="e">
        <f>SUM(K63:K67)</f>
        <v>#REF!</v>
      </c>
      <c r="L68" s="860"/>
      <c r="M68" s="858"/>
      <c r="N68" s="859" t="e">
        <f>SUM(N63:N67)</f>
        <v>#REF!</v>
      </c>
      <c r="O68" s="440"/>
      <c r="P68" s="4299"/>
      <c r="Q68" s="4299"/>
      <c r="S68" s="4290"/>
      <c r="T68" s="4291"/>
      <c r="U68" s="4291"/>
      <c r="V68" s="429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9"/>
      <c r="Q69" s="4299"/>
      <c r="R69" s="327"/>
      <c r="S69" s="4290"/>
      <c r="T69" s="4291"/>
      <c r="U69" s="4291"/>
      <c r="V69" s="429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00"/>
      <c r="Q70" s="4300"/>
      <c r="R70" s="327"/>
      <c r="S70" s="4293"/>
      <c r="T70" s="4294"/>
      <c r="U70" s="4294"/>
      <c r="V70" s="429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8" t="e">
        <f>IF(P58&gt;1,P58, IF(OR('Part VIII Scoring Criteria OLD'!$O$113='Part VIII Scoring Criteria OLD'!$M$113,AND(#REF!="Yes",'Part VIII Scoring Criteria OLD'!$O$378&gt;0)),H77+M77,H77))</f>
        <v>#REF!</v>
      </c>
      <c r="Q71" s="4319"/>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20"/>
      <c r="Q72" s="4321"/>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6" t="s">
        <v>3361</v>
      </c>
      <c r="Q73" s="429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7"/>
      <c r="Q74" s="429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7" t="e">
        <f>SUM(F70:F74)</f>
        <v>#REF!</v>
      </c>
      <c r="G75" s="492"/>
      <c r="H75" s="858"/>
      <c r="I75" s="861" t="e">
        <f>SUM(I70:I74)</f>
        <v>#REF!</v>
      </c>
      <c r="J75" s="860"/>
      <c r="K75" s="857" t="e">
        <f>SUM(K70:K74)</f>
        <v>#REF!</v>
      </c>
      <c r="L75" s="860"/>
      <c r="M75" s="858"/>
      <c r="N75" s="861" t="e">
        <f>SUM(N70:N74)</f>
        <v>#REF!</v>
      </c>
      <c r="O75" s="440"/>
      <c r="P75" s="4297"/>
      <c r="Q75" s="429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7"/>
      <c r="Q76" s="429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5" t="e">
        <f>F54+F61+F68+F75</f>
        <v>#REF!</v>
      </c>
      <c r="G77" s="258"/>
      <c r="H77" s="4306" t="e">
        <f>I54+I61+I68+I75</f>
        <v>#REF!</v>
      </c>
      <c r="I77" s="4306"/>
      <c r="J77" s="4306"/>
      <c r="K77" s="485" t="e">
        <f>K54+K61+K68+K75</f>
        <v>#REF!</v>
      </c>
      <c r="L77" s="486"/>
      <c r="M77" s="4306" t="e">
        <f>N54+N61+N68+N75</f>
        <v>#REF!</v>
      </c>
      <c r="N77" s="4306"/>
      <c r="O77" s="4306"/>
      <c r="P77" s="4297"/>
      <c r="Q77" s="429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3156</v>
      </c>
      <c r="D78" s="73"/>
      <c r="E78" s="73"/>
      <c r="F78" s="73"/>
      <c r="G78" s="73"/>
      <c r="H78" s="33"/>
      <c r="I78" s="878"/>
      <c r="J78" s="878"/>
      <c r="K78" s="105" t="s">
        <v>1725</v>
      </c>
      <c r="L78" s="674"/>
      <c r="M78" s="674"/>
      <c r="N78" s="674"/>
      <c r="O78" s="674"/>
      <c r="P78" s="4298"/>
      <c r="Q78" s="4298"/>
    </row>
    <row r="79" spans="1:295" s="28" customFormat="1" ht="10.5" customHeight="1">
      <c r="A79" s="4117"/>
      <c r="B79" s="4118"/>
      <c r="C79" s="4118"/>
      <c r="D79" s="4118"/>
      <c r="E79" s="4118"/>
      <c r="F79" s="4118"/>
      <c r="G79" s="4118"/>
      <c r="H79" s="4118"/>
      <c r="I79" s="4118"/>
      <c r="J79" s="4119"/>
      <c r="K79" s="4114"/>
      <c r="L79" s="4115"/>
      <c r="M79" s="4115"/>
      <c r="N79" s="4115"/>
      <c r="O79" s="4115"/>
      <c r="P79" s="4115"/>
      <c r="Q79" s="4116"/>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21" t="e">
        <f>CONCATENATE("PART EIGHT - SCORING CRITERIA","  -  ",#REF!," ",#REF!,", ",#REF!,", ",#REF!," County")</f>
        <v>#REF!</v>
      </c>
      <c r="B1" s="3222"/>
      <c r="C1" s="3222"/>
      <c r="D1" s="3222"/>
      <c r="E1" s="3222"/>
      <c r="F1" s="3222"/>
      <c r="G1" s="3222"/>
      <c r="H1" s="3222"/>
      <c r="I1" s="3222"/>
      <c r="J1" s="3222"/>
      <c r="K1" s="3222"/>
      <c r="L1" s="3222"/>
      <c r="M1" s="3222"/>
      <c r="N1" s="3222"/>
      <c r="O1" s="3222"/>
      <c r="P1" s="3223"/>
      <c r="Q1" s="4338" t="s">
        <v>4539</v>
      </c>
      <c r="R1" s="4338"/>
      <c r="S1" s="4338"/>
      <c r="T1" s="4338"/>
      <c r="U1" s="4338"/>
      <c r="V1" s="4338"/>
      <c r="W1" s="1878"/>
      <c r="X1" s="1837"/>
    </row>
    <row r="2" spans="1:25" s="28" customFormat="1" ht="4.3499999999999996" customHeight="1">
      <c r="A2" s="29"/>
      <c r="B2" s="29"/>
      <c r="C2" s="30"/>
      <c r="D2" s="29"/>
      <c r="E2" s="29"/>
      <c r="F2" s="29"/>
      <c r="G2" s="29"/>
      <c r="H2" s="29"/>
      <c r="I2" s="29"/>
      <c r="J2" s="29"/>
      <c r="K2" s="29"/>
      <c r="L2" s="29"/>
      <c r="M2" s="31"/>
      <c r="N2" s="53"/>
      <c r="O2" s="119"/>
      <c r="P2" s="119"/>
      <c r="Q2" s="4338"/>
      <c r="R2" s="4338"/>
      <c r="S2" s="4338"/>
      <c r="T2" s="4338"/>
      <c r="U2" s="4338"/>
      <c r="V2" s="4338"/>
      <c r="W2" s="1878"/>
      <c r="X2" s="1837"/>
    </row>
    <row r="3" spans="1:25" s="35" customFormat="1" ht="12" customHeight="1">
      <c r="A3" s="4389" t="s">
        <v>4552</v>
      </c>
      <c r="B3" s="4389"/>
      <c r="C3" s="4389"/>
      <c r="D3" s="4389"/>
      <c r="E3" s="4389"/>
      <c r="F3" s="4389"/>
      <c r="G3" s="4389"/>
      <c r="H3" s="4389"/>
      <c r="I3" s="4389"/>
      <c r="J3" s="4389"/>
      <c r="K3" s="4389"/>
      <c r="L3" s="4389"/>
      <c r="M3" s="658"/>
      <c r="N3" s="54"/>
      <c r="O3" s="63" t="s">
        <v>2045</v>
      </c>
      <c r="P3" s="901" t="s">
        <v>245</v>
      </c>
      <c r="Q3" s="4338"/>
      <c r="R3" s="4338"/>
      <c r="S3" s="4338"/>
      <c r="T3" s="4338"/>
      <c r="U3" s="4338"/>
      <c r="V3" s="4338"/>
      <c r="W3" s="1878"/>
      <c r="X3" s="1837"/>
    </row>
    <row r="4" spans="1:25" s="37" customFormat="1" ht="12" customHeight="1">
      <c r="A4" s="4389"/>
      <c r="B4" s="4389"/>
      <c r="C4" s="4389"/>
      <c r="D4" s="4389"/>
      <c r="E4" s="4389"/>
      <c r="F4" s="4389"/>
      <c r="G4" s="4389"/>
      <c r="H4" s="4389"/>
      <c r="I4" s="4389"/>
      <c r="J4" s="4389"/>
      <c r="K4" s="4389"/>
      <c r="L4" s="4389"/>
      <c r="M4" s="658"/>
      <c r="N4" s="64"/>
      <c r="O4" s="149" t="s">
        <v>2046</v>
      </c>
      <c r="P4" s="149" t="s">
        <v>2046</v>
      </c>
      <c r="Q4" s="4338"/>
      <c r="R4" s="4338"/>
      <c r="S4" s="4338"/>
      <c r="T4" s="4338"/>
      <c r="U4" s="4338"/>
      <c r="V4" s="4338"/>
    </row>
    <row r="5" spans="1:25" s="37" customFormat="1" ht="3" customHeight="1" thickBot="1">
      <c r="A5" s="35"/>
      <c r="B5" s="35"/>
      <c r="C5" s="35"/>
      <c r="D5" s="35"/>
      <c r="E5" s="35"/>
      <c r="F5" s="35"/>
      <c r="G5" s="35"/>
      <c r="H5" s="35"/>
      <c r="I5" s="35"/>
      <c r="J5" s="35"/>
      <c r="K5" s="35"/>
      <c r="M5" s="1545"/>
      <c r="N5" s="4"/>
      <c r="O5" s="119"/>
      <c r="P5" s="24"/>
      <c r="Q5" s="4338"/>
      <c r="R5" s="4338"/>
      <c r="S5" s="4338"/>
      <c r="T5" s="4338"/>
      <c r="U5" s="4338"/>
      <c r="V5" s="4338"/>
    </row>
    <row r="6" spans="1:25" s="37" customFormat="1" ht="13.5" customHeight="1" thickTop="1" thickBot="1">
      <c r="A6" s="35"/>
      <c r="B6" s="4484" t="e">
        <f>#REF!</f>
        <v>#REF!</v>
      </c>
      <c r="C6" s="4484"/>
      <c r="D6" s="4484"/>
      <c r="E6" s="4484"/>
      <c r="F6" s="4484"/>
      <c r="G6" s="72"/>
      <c r="H6" s="35"/>
      <c r="I6" s="35"/>
      <c r="J6" s="35"/>
      <c r="L6" s="51" t="s">
        <v>1151</v>
      </c>
      <c r="M6" s="3"/>
      <c r="N6" s="7"/>
      <c r="O6" s="1525" t="e">
        <f>O442</f>
        <v>#REF!</v>
      </c>
      <c r="P6" s="1525" t="e">
        <f>P442</f>
        <v>#REF!</v>
      </c>
      <c r="Q6" s="1457" t="s">
        <v>4629</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4036</v>
      </c>
      <c r="D10" s="29"/>
      <c r="E10" s="29"/>
      <c r="F10" s="29"/>
      <c r="G10" s="42"/>
      <c r="H10" s="147" t="s">
        <v>3706</v>
      </c>
      <c r="I10" s="42"/>
      <c r="J10" s="42"/>
      <c r="K10" s="42"/>
      <c r="L10" s="42"/>
      <c r="M10" s="1122" t="s">
        <v>3705</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3304</v>
      </c>
      <c r="B12" s="1141" t="s">
        <v>3305</v>
      </c>
      <c r="C12" s="923"/>
      <c r="D12" s="923"/>
      <c r="E12" s="236" t="s">
        <v>3312</v>
      </c>
      <c r="F12" s="4481" t="s">
        <v>4392</v>
      </c>
      <c r="G12" s="4481"/>
      <c r="H12" s="4481"/>
      <c r="I12" s="4481"/>
      <c r="J12" s="4481"/>
      <c r="K12" s="4481"/>
      <c r="L12" s="4481"/>
      <c r="M12" s="4481"/>
      <c r="N12" s="4481"/>
      <c r="O12" s="1142" t="s">
        <v>3685</v>
      </c>
      <c r="P12" s="1143">
        <f>SUM(P13:P31)</f>
        <v>0</v>
      </c>
      <c r="Q12" s="4337" t="s">
        <v>4439</v>
      </c>
      <c r="R12" s="4337"/>
      <c r="S12" s="4337"/>
      <c r="T12" s="4337"/>
      <c r="U12" s="4337"/>
      <c r="V12" s="1120"/>
    </row>
    <row r="13" spans="1:25" s="35" customFormat="1" ht="10.5" customHeight="1">
      <c r="A13" s="911" t="s">
        <v>1663</v>
      </c>
      <c r="B13" s="908" t="s">
        <v>3306</v>
      </c>
      <c r="C13" s="909"/>
      <c r="D13" s="910"/>
      <c r="E13" s="1136">
        <f>$O$103</f>
        <v>0</v>
      </c>
      <c r="F13" s="4482">
        <f>$A$109</f>
        <v>0</v>
      </c>
      <c r="G13" s="4483"/>
      <c r="H13" s="4483"/>
      <c r="I13" s="4483"/>
      <c r="J13" s="4483"/>
      <c r="K13" s="4483"/>
      <c r="L13" s="4483"/>
      <c r="M13" s="4483"/>
      <c r="N13" s="4483"/>
      <c r="O13" s="4483"/>
      <c r="P13" s="1149"/>
      <c r="Q13" s="4337"/>
      <c r="R13" s="4337"/>
      <c r="S13" s="4337"/>
      <c r="T13" s="4337"/>
      <c r="U13" s="4337"/>
      <c r="V13" s="1120"/>
    </row>
    <row r="14" spans="1:25" s="35" customFormat="1" ht="10.5" customHeight="1">
      <c r="A14" s="911" t="s">
        <v>495</v>
      </c>
      <c r="B14" s="738" t="s">
        <v>3908</v>
      </c>
      <c r="C14" s="853"/>
      <c r="D14" s="912"/>
      <c r="E14" s="1681">
        <f>$O$113</f>
        <v>0</v>
      </c>
      <c r="F14" s="4357">
        <f>$A$147</f>
        <v>0</v>
      </c>
      <c r="G14" s="4358"/>
      <c r="H14" s="4358"/>
      <c r="I14" s="4358"/>
      <c r="J14" s="4358"/>
      <c r="K14" s="4358"/>
      <c r="L14" s="4358"/>
      <c r="M14" s="4358"/>
      <c r="N14" s="4358"/>
      <c r="O14" s="4359"/>
      <c r="P14" s="1150"/>
      <c r="Q14" s="4337"/>
      <c r="R14" s="4337"/>
      <c r="S14" s="4337"/>
      <c r="T14" s="4337"/>
      <c r="U14" s="4337"/>
    </row>
    <row r="15" spans="1:25" s="35" customFormat="1" ht="10.5" customHeight="1">
      <c r="A15" s="911" t="s">
        <v>719</v>
      </c>
      <c r="B15" s="738" t="s">
        <v>3251</v>
      </c>
      <c r="C15" s="853"/>
      <c r="D15" s="912"/>
      <c r="E15" s="1681">
        <f>$O$152</f>
        <v>0</v>
      </c>
      <c r="F15" s="4357">
        <f>$A$165</f>
        <v>0</v>
      </c>
      <c r="G15" s="4358"/>
      <c r="H15" s="4358"/>
      <c r="I15" s="4358"/>
      <c r="J15" s="4358"/>
      <c r="K15" s="4358"/>
      <c r="L15" s="4358"/>
      <c r="M15" s="4358"/>
      <c r="N15" s="4358"/>
      <c r="O15" s="4359"/>
      <c r="P15" s="1150"/>
      <c r="Q15" s="1884"/>
      <c r="R15" s="1884"/>
      <c r="S15" s="1884"/>
      <c r="T15" s="1884"/>
      <c r="U15" s="1884"/>
    </row>
    <row r="16" spans="1:25" s="35" customFormat="1" ht="10.5" customHeight="1">
      <c r="A16" s="1524" t="s">
        <v>280</v>
      </c>
      <c r="B16" s="738" t="s">
        <v>3307</v>
      </c>
      <c r="C16" s="853"/>
      <c r="D16" s="912"/>
      <c r="E16" s="1138">
        <f>$O$169</f>
        <v>0</v>
      </c>
      <c r="F16" s="4357">
        <f>$A$186</f>
        <v>0</v>
      </c>
      <c r="G16" s="4358"/>
      <c r="H16" s="4358"/>
      <c r="I16" s="4358"/>
      <c r="J16" s="4358"/>
      <c r="K16" s="4358"/>
      <c r="L16" s="4358"/>
      <c r="M16" s="4358"/>
      <c r="N16" s="4358"/>
      <c r="O16" s="4359"/>
      <c r="P16" s="1150"/>
      <c r="Q16" s="1884"/>
      <c r="R16" s="1884"/>
      <c r="S16" s="1884"/>
      <c r="T16" s="1884"/>
      <c r="U16" s="1884"/>
    </row>
    <row r="17" spans="1:35" s="35" customFormat="1" ht="10.5" customHeight="1">
      <c r="A17" s="911" t="s">
        <v>400</v>
      </c>
      <c r="B17" s="918" t="s">
        <v>3308</v>
      </c>
      <c r="C17" s="919"/>
      <c r="D17" s="920"/>
      <c r="E17" s="1139" t="s">
        <v>1607</v>
      </c>
      <c r="F17" s="4421">
        <f>$A$201</f>
        <v>0</v>
      </c>
      <c r="G17" s="4422"/>
      <c r="H17" s="4422"/>
      <c r="I17" s="4422"/>
      <c r="J17" s="4422"/>
      <c r="K17" s="4422"/>
      <c r="L17" s="4422"/>
      <c r="M17" s="4422"/>
      <c r="N17" s="4422"/>
      <c r="O17" s="4423"/>
      <c r="P17" s="1150"/>
      <c r="Q17" s="1884"/>
      <c r="R17" s="1884"/>
      <c r="S17" s="1884"/>
      <c r="T17" s="1884"/>
      <c r="U17" s="1884"/>
    </row>
    <row r="18" spans="1:35" s="35" customFormat="1" ht="10.5" customHeight="1">
      <c r="A18" s="911" t="s">
        <v>342</v>
      </c>
      <c r="B18" s="738" t="s">
        <v>3909</v>
      </c>
      <c r="C18" s="853"/>
      <c r="D18" s="912"/>
      <c r="E18" s="1137">
        <f>$O$205</f>
        <v>0</v>
      </c>
      <c r="F18" s="4357">
        <f>$A$220</f>
        <v>0</v>
      </c>
      <c r="G18" s="4358"/>
      <c r="H18" s="4358"/>
      <c r="I18" s="4358"/>
      <c r="J18" s="4358"/>
      <c r="K18" s="4358"/>
      <c r="L18" s="4358"/>
      <c r="M18" s="4358"/>
      <c r="N18" s="4358"/>
      <c r="O18" s="4359"/>
      <c r="P18" s="1150"/>
      <c r="Q18" s="4416" t="str">
        <f>IF(OR($A$109="",$A$147="",$A$165="",$A$186="",$A$201="",$A$220="",$A$238="",$A$248="",$A$257="",$A$281="",$A$306="",$A$314="",$A$338="",$A$374="",$A$393="",$A$414="",$A$420="",$A$430="",$A$438=""),"Some Applicant Scoring Justification boxes are empty! Check to see if points claimed.","")</f>
        <v>Some Applicant Scoring Justification boxes are empty! Check to see if points claimed.</v>
      </c>
      <c r="R18" s="4417"/>
      <c r="S18" s="4417"/>
    </row>
    <row r="19" spans="1:35" s="35" customFormat="1" ht="10.5" customHeight="1">
      <c r="A19" s="911" t="s">
        <v>3911</v>
      </c>
      <c r="B19" s="738" t="s">
        <v>3178</v>
      </c>
      <c r="C19" s="853"/>
      <c r="D19" s="912"/>
      <c r="E19" s="1137">
        <f>$O$233</f>
        <v>0</v>
      </c>
      <c r="F19" s="4357">
        <f>$A$238</f>
        <v>0</v>
      </c>
      <c r="G19" s="4358"/>
      <c r="H19" s="4358"/>
      <c r="I19" s="4358"/>
      <c r="J19" s="4358"/>
      <c r="K19" s="4358"/>
      <c r="L19" s="4358"/>
      <c r="M19" s="4358"/>
      <c r="N19" s="4358"/>
      <c r="O19" s="4359"/>
      <c r="P19" s="1150"/>
      <c r="Q19" s="4416"/>
      <c r="R19" s="4417"/>
      <c r="S19" s="4417"/>
    </row>
    <row r="20" spans="1:35" s="35" customFormat="1" ht="10.5" customHeight="1">
      <c r="A20" s="911" t="s">
        <v>3922</v>
      </c>
      <c r="B20" s="738" t="s">
        <v>3912</v>
      </c>
      <c r="C20" s="853"/>
      <c r="D20" s="912"/>
      <c r="E20" s="1139">
        <f>$O$242</f>
        <v>0</v>
      </c>
      <c r="F20" s="4357">
        <f>$A$248</f>
        <v>0</v>
      </c>
      <c r="G20" s="4358"/>
      <c r="H20" s="4358"/>
      <c r="I20" s="4358"/>
      <c r="J20" s="4358"/>
      <c r="K20" s="4358"/>
      <c r="L20" s="4358"/>
      <c r="M20" s="4358"/>
      <c r="N20" s="4358"/>
      <c r="O20" s="4359"/>
      <c r="P20" s="1150"/>
      <c r="Q20" s="4416"/>
      <c r="R20" s="4417"/>
      <c r="S20" s="4417"/>
    </row>
    <row r="21" spans="1:35" s="35" customFormat="1" ht="10.5" customHeight="1">
      <c r="A21" s="917" t="s">
        <v>4139</v>
      </c>
      <c r="B21" s="918" t="s">
        <v>3913</v>
      </c>
      <c r="C21" s="919"/>
      <c r="D21" s="920"/>
      <c r="E21" s="1140">
        <f>$O$252</f>
        <v>0</v>
      </c>
      <c r="F21" s="4421">
        <f>$A$257</f>
        <v>0</v>
      </c>
      <c r="G21" s="4422"/>
      <c r="H21" s="4422"/>
      <c r="I21" s="4422"/>
      <c r="J21" s="4422"/>
      <c r="K21" s="4422"/>
      <c r="L21" s="4422"/>
      <c r="M21" s="4422"/>
      <c r="N21" s="4422"/>
      <c r="O21" s="4423"/>
      <c r="P21" s="1150"/>
      <c r="Q21" s="4416"/>
      <c r="R21" s="4417"/>
      <c r="S21" s="4417"/>
    </row>
    <row r="22" spans="1:35" s="35" customFormat="1" ht="10.5" customHeight="1">
      <c r="A22" s="911" t="s">
        <v>4531</v>
      </c>
      <c r="B22" s="738" t="s">
        <v>4443</v>
      </c>
      <c r="C22" s="853"/>
      <c r="D22" s="912"/>
      <c r="E22" s="1137">
        <f>$O$274</f>
        <v>0</v>
      </c>
      <c r="F22" s="4357">
        <f>$A$281</f>
        <v>0</v>
      </c>
      <c r="G22" s="4358"/>
      <c r="H22" s="4358"/>
      <c r="I22" s="4358"/>
      <c r="J22" s="4358"/>
      <c r="K22" s="4358"/>
      <c r="L22" s="4358"/>
      <c r="M22" s="4358"/>
      <c r="N22" s="4358"/>
      <c r="O22" s="4359"/>
      <c r="P22" s="1150"/>
      <c r="Q22" s="4416"/>
      <c r="R22" s="4417"/>
      <c r="S22" s="4417"/>
    </row>
    <row r="23" spans="1:35" s="35" customFormat="1" ht="10.5" customHeight="1">
      <c r="A23" s="911" t="s">
        <v>4533</v>
      </c>
      <c r="B23" s="738" t="s">
        <v>4532</v>
      </c>
      <c r="C23" s="853"/>
      <c r="D23" s="912"/>
      <c r="E23" s="1137">
        <f>$O$285</f>
        <v>0</v>
      </c>
      <c r="F23" s="4357">
        <f>$A$306</f>
        <v>0</v>
      </c>
      <c r="G23" s="4358"/>
      <c r="H23" s="4358"/>
      <c r="I23" s="4358"/>
      <c r="J23" s="4358"/>
      <c r="K23" s="4358"/>
      <c r="L23" s="4358"/>
      <c r="M23" s="4358"/>
      <c r="N23" s="4358"/>
      <c r="O23" s="4359"/>
      <c r="P23" s="1150"/>
      <c r="Q23" s="4416"/>
      <c r="R23" s="4417"/>
      <c r="S23" s="4417"/>
    </row>
    <row r="24" spans="1:35" s="35" customFormat="1" ht="10.5" customHeight="1">
      <c r="A24" s="1524" t="s">
        <v>3281</v>
      </c>
      <c r="B24" s="1797" t="s">
        <v>4449</v>
      </c>
      <c r="C24" s="1798"/>
      <c r="D24" s="1799"/>
      <c r="E24" s="1138">
        <f>$O$310</f>
        <v>0</v>
      </c>
      <c r="F24" s="4410">
        <f>$A$314</f>
        <v>0</v>
      </c>
      <c r="G24" s="4411"/>
      <c r="H24" s="4411"/>
      <c r="I24" s="4411"/>
      <c r="J24" s="4411"/>
      <c r="K24" s="4411"/>
      <c r="L24" s="4411"/>
      <c r="M24" s="4411"/>
      <c r="N24" s="4411"/>
      <c r="O24" s="4412"/>
      <c r="P24" s="1150"/>
      <c r="Q24" s="4416"/>
      <c r="R24" s="4417"/>
      <c r="S24" s="4417"/>
    </row>
    <row r="25" spans="1:35" s="35" customFormat="1" ht="10.5" customHeight="1">
      <c r="A25" s="911" t="s">
        <v>3285</v>
      </c>
      <c r="B25" s="738" t="s">
        <v>3309</v>
      </c>
      <c r="C25" s="853"/>
      <c r="D25" s="912"/>
      <c r="E25" s="1137">
        <f>$O$334</f>
        <v>0</v>
      </c>
      <c r="F25" s="4357">
        <f>$A$338</f>
        <v>0</v>
      </c>
      <c r="G25" s="4358"/>
      <c r="H25" s="4358"/>
      <c r="I25" s="4358"/>
      <c r="J25" s="4358"/>
      <c r="K25" s="4358"/>
      <c r="L25" s="4358"/>
      <c r="M25" s="4358"/>
      <c r="N25" s="4358"/>
      <c r="O25" s="4359"/>
      <c r="P25" s="1150"/>
      <c r="Q25" s="4416"/>
      <c r="R25" s="4417"/>
      <c r="S25" s="4417"/>
    </row>
    <row r="26" spans="1:35" s="35" customFormat="1" ht="10.5" customHeight="1">
      <c r="A26" s="911" t="s">
        <v>3288</v>
      </c>
      <c r="B26" s="738" t="s">
        <v>3310</v>
      </c>
      <c r="C26" s="853"/>
      <c r="D26" s="912"/>
      <c r="E26" s="1137">
        <f>$O$342</f>
        <v>0</v>
      </c>
      <c r="F26" s="4357">
        <f>$A$374</f>
        <v>0</v>
      </c>
      <c r="G26" s="4358"/>
      <c r="H26" s="4358"/>
      <c r="I26" s="4358"/>
      <c r="J26" s="4358"/>
      <c r="K26" s="4358"/>
      <c r="L26" s="4358"/>
      <c r="M26" s="4358"/>
      <c r="N26" s="4358"/>
      <c r="O26" s="4359"/>
      <c r="P26" s="1150"/>
      <c r="Q26" s="4416"/>
      <c r="R26" s="4417"/>
      <c r="S26" s="4417"/>
    </row>
    <row r="27" spans="1:35" s="35" customFormat="1" ht="10.5" customHeight="1">
      <c r="A27" s="911" t="s">
        <v>3289</v>
      </c>
      <c r="B27" s="738" t="s">
        <v>3311</v>
      </c>
      <c r="C27" s="853"/>
      <c r="D27" s="912"/>
      <c r="E27" s="1139">
        <f>$O$378</f>
        <v>0</v>
      </c>
      <c r="F27" s="4357">
        <f>$A$393</f>
        <v>0</v>
      </c>
      <c r="G27" s="4358"/>
      <c r="H27" s="4358"/>
      <c r="I27" s="4358"/>
      <c r="J27" s="4358"/>
      <c r="K27" s="4358"/>
      <c r="L27" s="4358"/>
      <c r="M27" s="4358"/>
      <c r="N27" s="4358"/>
      <c r="O27" s="4359"/>
      <c r="P27" s="1150"/>
      <c r="Q27" s="1874"/>
      <c r="R27" s="1540"/>
      <c r="S27" s="1540"/>
      <c r="AA27" s="4"/>
      <c r="AB27" s="4"/>
      <c r="AC27" s="4"/>
      <c r="AD27" s="4"/>
      <c r="AE27" s="4"/>
      <c r="AF27" s="4"/>
    </row>
    <row r="28" spans="1:35" s="35" customFormat="1" ht="10.5" customHeight="1">
      <c r="A28" s="913" t="s">
        <v>3291</v>
      </c>
      <c r="B28" s="914" t="s">
        <v>4530</v>
      </c>
      <c r="C28" s="915"/>
      <c r="D28" s="916"/>
      <c r="E28" s="1536">
        <f>$O$405</f>
        <v>2</v>
      </c>
      <c r="F28" s="4372">
        <f>$A$414</f>
        <v>0</v>
      </c>
      <c r="G28" s="4373"/>
      <c r="H28" s="4373"/>
      <c r="I28" s="4373"/>
      <c r="J28" s="4373"/>
      <c r="K28" s="4373"/>
      <c r="L28" s="4373"/>
      <c r="M28" s="4373"/>
      <c r="N28" s="4373"/>
      <c r="O28" s="4374"/>
      <c r="P28" s="1151"/>
      <c r="Q28" s="1874"/>
      <c r="R28" s="1540"/>
      <c r="S28" s="1540"/>
      <c r="X28" s="4"/>
      <c r="Y28" s="4"/>
      <c r="Z28" s="4"/>
      <c r="AA28" s="4"/>
      <c r="AB28" s="4"/>
      <c r="AC28" s="4"/>
      <c r="AD28" s="4"/>
      <c r="AE28" s="4"/>
      <c r="AF28" s="4"/>
      <c r="AG28" s="4"/>
      <c r="AH28" s="4"/>
      <c r="AI28" s="4"/>
    </row>
    <row r="29" spans="1:35" s="35" customFormat="1" ht="10.5" customHeight="1">
      <c r="A29" s="911" t="s">
        <v>3292</v>
      </c>
      <c r="B29" s="738" t="s">
        <v>4032</v>
      </c>
      <c r="C29" s="853"/>
      <c r="D29" s="912"/>
      <c r="E29" s="1137">
        <f>$O$418</f>
        <v>0</v>
      </c>
      <c r="F29" s="4357">
        <f>$A$420</f>
        <v>0</v>
      </c>
      <c r="G29" s="4358"/>
      <c r="H29" s="4358"/>
      <c r="I29" s="4358"/>
      <c r="J29" s="4358"/>
      <c r="K29" s="4358"/>
      <c r="L29" s="4358"/>
      <c r="M29" s="4358"/>
      <c r="N29" s="4358"/>
      <c r="O29" s="4359"/>
      <c r="P29" s="1150"/>
      <c r="Q29" s="1874"/>
      <c r="R29" s="1540"/>
      <c r="S29" s="1540"/>
    </row>
    <row r="30" spans="1:35" s="35" customFormat="1" ht="10.5" customHeight="1">
      <c r="A30" s="911" t="s">
        <v>3678</v>
      </c>
      <c r="B30" s="738" t="s">
        <v>4447</v>
      </c>
      <c r="C30" s="853"/>
      <c r="D30" s="912"/>
      <c r="E30" s="1137">
        <f>$O$428</f>
        <v>0</v>
      </c>
      <c r="F30" s="4357">
        <f>$A$430</f>
        <v>0</v>
      </c>
      <c r="G30" s="4358"/>
      <c r="H30" s="4358"/>
      <c r="I30" s="4358"/>
      <c r="J30" s="4358"/>
      <c r="K30" s="4358"/>
      <c r="L30" s="4358"/>
      <c r="M30" s="4358"/>
      <c r="N30" s="4358"/>
      <c r="O30" s="4359"/>
      <c r="P30" s="1150"/>
      <c r="Q30" s="1874"/>
      <c r="R30" s="1540"/>
      <c r="S30" s="1540"/>
      <c r="AA30" s="3524" t="s">
        <v>4457</v>
      </c>
      <c r="AB30" s="3524"/>
      <c r="AC30" s="3524"/>
      <c r="AD30" s="3524"/>
      <c r="AE30" s="3524"/>
      <c r="AF30" s="3524"/>
    </row>
    <row r="31" spans="1:35" s="35" customFormat="1" ht="10.5" customHeight="1">
      <c r="A31" s="913" t="s">
        <v>4450</v>
      </c>
      <c r="B31" s="914" t="s">
        <v>4448</v>
      </c>
      <c r="C31" s="915"/>
      <c r="D31" s="916"/>
      <c r="E31" s="1536">
        <f>$O$434</f>
        <v>0</v>
      </c>
      <c r="F31" s="4372">
        <f>$A$438</f>
        <v>0</v>
      </c>
      <c r="G31" s="4373"/>
      <c r="H31" s="4373"/>
      <c r="I31" s="4373"/>
      <c r="J31" s="4373"/>
      <c r="K31" s="4373"/>
      <c r="L31" s="4373"/>
      <c r="M31" s="4373"/>
      <c r="N31" s="4373"/>
      <c r="O31" s="4374"/>
      <c r="P31" s="1151"/>
      <c r="Q31" s="1874"/>
      <c r="R31" s="1540"/>
      <c r="S31" s="1540"/>
      <c r="X31" s="3524" t="s">
        <v>4458</v>
      </c>
      <c r="Y31" s="3524"/>
      <c r="Z31" s="3524"/>
      <c r="AA31" s="3524"/>
      <c r="AB31" s="3524"/>
      <c r="AC31" s="3524"/>
      <c r="AD31" s="3524" t="s">
        <v>4459</v>
      </c>
      <c r="AE31" s="3524"/>
      <c r="AF31" s="3524"/>
      <c r="AG31" s="3524"/>
      <c r="AH31" s="3524"/>
      <c r="AI31" s="3524"/>
    </row>
    <row r="32" spans="1:35" s="115" customFormat="1" ht="5.25" customHeight="1">
      <c r="C32" s="68"/>
      <c r="D32" s="68"/>
      <c r="E32" s="68"/>
      <c r="F32" s="68"/>
      <c r="G32" s="1423"/>
      <c r="H32" s="68"/>
      <c r="I32" s="68"/>
      <c r="J32" s="68"/>
      <c r="K32" s="68"/>
    </row>
    <row r="33" spans="1:46" s="115" customFormat="1" ht="12.75" customHeight="1">
      <c r="A33" s="120" t="s">
        <v>688</v>
      </c>
      <c r="B33" s="83" t="s">
        <v>4037</v>
      </c>
      <c r="C33" s="70"/>
      <c r="D33" s="68"/>
      <c r="E33" s="68"/>
      <c r="F33" s="68"/>
      <c r="G33" s="4424" t="s">
        <v>4025</v>
      </c>
      <c r="H33" s="4424"/>
      <c r="I33" s="4418" t="s">
        <v>4402</v>
      </c>
      <c r="J33" s="4419"/>
      <c r="K33" s="4419"/>
      <c r="L33" s="4420"/>
      <c r="M33" s="4485" t="s">
        <v>4038</v>
      </c>
      <c r="N33" s="4485"/>
      <c r="O33" s="4485"/>
      <c r="P33" s="4485"/>
      <c r="Q33" s="435"/>
      <c r="R33" s="435"/>
      <c r="S33" s="83" t="s">
        <v>4037</v>
      </c>
      <c r="T33" s="435"/>
      <c r="U33" s="435"/>
      <c r="V33" s="435"/>
      <c r="X33" s="4404" t="s">
        <v>4025</v>
      </c>
      <c r="Y33" s="4406"/>
      <c r="Z33" s="4404" t="s">
        <v>4402</v>
      </c>
      <c r="AA33" s="4405"/>
      <c r="AB33" s="4405"/>
      <c r="AC33" s="4406"/>
      <c r="AD33" s="4413" t="s">
        <v>4025</v>
      </c>
      <c r="AE33" s="4414"/>
      <c r="AF33" s="4415" t="s">
        <v>4402</v>
      </c>
      <c r="AG33" s="4413"/>
      <c r="AH33" s="4413"/>
      <c r="AI33" s="4414"/>
    </row>
    <row r="34" spans="1:46" s="115" customFormat="1" ht="11.25" customHeight="1">
      <c r="A34" s="44"/>
      <c r="B34" s="29"/>
      <c r="C34" s="44"/>
      <c r="D34" s="44"/>
      <c r="E34" s="44"/>
      <c r="F34" s="44"/>
      <c r="G34" s="1635">
        <v>0.09</v>
      </c>
      <c r="H34" s="1635">
        <v>0.04</v>
      </c>
      <c r="I34" s="1635">
        <v>0.04</v>
      </c>
      <c r="J34" s="1635" t="s">
        <v>4440</v>
      </c>
      <c r="K34" s="1635" t="s">
        <v>4441</v>
      </c>
      <c r="L34" s="1635" t="s">
        <v>4442</v>
      </c>
      <c r="M34" s="4407" t="e">
        <f>#REF!</f>
        <v>#REF!</v>
      </c>
      <c r="N34" s="4408"/>
      <c r="O34" s="4408"/>
      <c r="P34" s="4409"/>
      <c r="Q34" s="435"/>
      <c r="R34" s="44"/>
      <c r="S34" s="29"/>
      <c r="T34" s="44"/>
      <c r="U34" s="44"/>
      <c r="V34" s="44"/>
      <c r="W34" s="44"/>
      <c r="X34" s="1635">
        <v>0.09</v>
      </c>
      <c r="Y34" s="1635">
        <v>0.04</v>
      </c>
      <c r="Z34" s="1635">
        <v>0.04</v>
      </c>
      <c r="AA34" s="1635" t="s">
        <v>4440</v>
      </c>
      <c r="AB34" s="1635" t="s">
        <v>4441</v>
      </c>
      <c r="AC34" s="1635" t="s">
        <v>4442</v>
      </c>
      <c r="AD34" s="1635">
        <v>0.09</v>
      </c>
      <c r="AE34" s="1635">
        <v>0.04</v>
      </c>
      <c r="AF34" s="1635">
        <v>0.04</v>
      </c>
      <c r="AG34" s="1635" t="s">
        <v>4440</v>
      </c>
      <c r="AH34" s="1635" t="s">
        <v>4441</v>
      </c>
      <c r="AI34" s="1635" t="s">
        <v>4442</v>
      </c>
    </row>
    <row r="35" spans="1:46" s="115" customFormat="1" ht="10.5" customHeight="1">
      <c r="A35" s="646" t="s">
        <v>572</v>
      </c>
      <c r="B35" s="1636" t="s">
        <v>4639</v>
      </c>
      <c r="C35" s="1637"/>
      <c r="D35" s="1638"/>
      <c r="E35" s="1638"/>
      <c r="F35" s="1638"/>
      <c r="G35" s="1639">
        <v>0</v>
      </c>
      <c r="H35" s="1640">
        <v>0</v>
      </c>
      <c r="I35" s="1903">
        <v>0</v>
      </c>
      <c r="J35" s="1904">
        <v>0</v>
      </c>
      <c r="K35" s="1904">
        <v>0</v>
      </c>
      <c r="L35" s="1905">
        <v>0</v>
      </c>
      <c r="Q35" s="142"/>
      <c r="R35" s="646" t="s">
        <v>572</v>
      </c>
      <c r="S35" s="1636" t="s">
        <v>4639</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4026</v>
      </c>
      <c r="C36" s="1637"/>
      <c r="D36" s="1638"/>
      <c r="E36" s="1638"/>
      <c r="F36" s="1638"/>
      <c r="G36" s="1639">
        <v>10</v>
      </c>
      <c r="H36" s="1640">
        <v>10</v>
      </c>
      <c r="I36" s="1639">
        <v>10</v>
      </c>
      <c r="J36" s="1906">
        <v>10</v>
      </c>
      <c r="K36" s="1731">
        <v>10</v>
      </c>
      <c r="L36" s="1645">
        <v>10</v>
      </c>
      <c r="Q36" s="142"/>
      <c r="R36" s="646" t="s">
        <v>690</v>
      </c>
      <c r="S36" s="1636" t="s">
        <v>4026</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4027</v>
      </c>
      <c r="C37" s="1642"/>
      <c r="D37" s="1643"/>
      <c r="E37" s="1643"/>
      <c r="F37" s="1643"/>
      <c r="G37" s="1644">
        <v>3</v>
      </c>
      <c r="H37" s="1645">
        <v>3</v>
      </c>
      <c r="I37" s="1644"/>
      <c r="J37" s="1731"/>
      <c r="K37" s="1731"/>
      <c r="L37" s="1645"/>
      <c r="M37" s="258" t="s">
        <v>4039</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4027</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3306</v>
      </c>
      <c r="C38" s="1642"/>
      <c r="D38" s="1643"/>
      <c r="E38" s="1643"/>
      <c r="F38" s="1643"/>
      <c r="G38" s="1644">
        <v>20</v>
      </c>
      <c r="H38" s="1645">
        <v>12</v>
      </c>
      <c r="I38" s="1644"/>
      <c r="J38" s="1731"/>
      <c r="K38" s="1731"/>
      <c r="L38" s="1645"/>
      <c r="Q38" s="142"/>
      <c r="R38" s="646" t="s">
        <v>1663</v>
      </c>
      <c r="S38" s="1641" t="s">
        <v>3306</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3908</v>
      </c>
      <c r="C39" s="1642"/>
      <c r="D39" s="1643"/>
      <c r="E39" s="1643"/>
      <c r="F39" s="1643"/>
      <c r="G39" s="1644">
        <v>6</v>
      </c>
      <c r="H39" s="1645">
        <v>4</v>
      </c>
      <c r="I39" s="1644"/>
      <c r="J39" s="1731"/>
      <c r="K39" s="1731"/>
      <c r="L39" s="1645"/>
      <c r="Q39" s="142"/>
      <c r="R39" s="646" t="s">
        <v>495</v>
      </c>
      <c r="S39" s="1641" t="s">
        <v>3908</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3251</v>
      </c>
      <c r="C40" s="1642"/>
      <c r="D40" s="1643"/>
      <c r="E40" s="1643"/>
      <c r="F40" s="1643"/>
      <c r="G40" s="1644">
        <v>3</v>
      </c>
      <c r="H40" s="1645">
        <v>2</v>
      </c>
      <c r="I40" s="1644"/>
      <c r="J40" s="1731"/>
      <c r="K40" s="1731"/>
      <c r="L40" s="1645"/>
      <c r="M40" s="4486" t="s">
        <v>4456</v>
      </c>
      <c r="N40" s="4487"/>
      <c r="O40" s="4487"/>
      <c r="P40" s="4487"/>
      <c r="Q40" s="142"/>
      <c r="R40" s="646" t="s">
        <v>719</v>
      </c>
      <c r="S40" s="1641" t="s">
        <v>3251</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3307</v>
      </c>
      <c r="C41" s="1642"/>
      <c r="D41" s="1643"/>
      <c r="E41" s="1643"/>
      <c r="F41" s="1643"/>
      <c r="G41" s="1644">
        <v>7</v>
      </c>
      <c r="H41" s="1645">
        <v>5</v>
      </c>
      <c r="I41" s="1644"/>
      <c r="J41" s="1731"/>
      <c r="K41" s="1731"/>
      <c r="L41" s="1645"/>
      <c r="M41" s="4486"/>
      <c r="N41" s="4487"/>
      <c r="O41" s="4487"/>
      <c r="P41" s="4487"/>
      <c r="Q41" s="142"/>
      <c r="R41" s="646" t="s">
        <v>280</v>
      </c>
      <c r="S41" s="1641" t="s">
        <v>3307</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3308</v>
      </c>
      <c r="C42" s="1642"/>
      <c r="D42" s="1643"/>
      <c r="E42" s="1643"/>
      <c r="F42" s="1643"/>
      <c r="G42" s="1644">
        <v>3</v>
      </c>
      <c r="H42" s="1645"/>
      <c r="I42" s="1644"/>
      <c r="J42" s="1731"/>
      <c r="K42" s="1731"/>
      <c r="L42" s="1645"/>
      <c r="M42" s="147" t="s">
        <v>4451</v>
      </c>
      <c r="N42" s="147"/>
      <c r="O42" s="147"/>
      <c r="P42" s="1173"/>
      <c r="Q42" s="142"/>
      <c r="R42" s="646" t="s">
        <v>400</v>
      </c>
      <c r="S42" s="1641" t="s">
        <v>3308</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3909</v>
      </c>
      <c r="C43" s="1642"/>
      <c r="D43" s="1643"/>
      <c r="E43" s="1643"/>
      <c r="F43" s="1643"/>
      <c r="G43" s="1644">
        <v>10</v>
      </c>
      <c r="H43" s="1645">
        <v>5</v>
      </c>
      <c r="I43" s="1644"/>
      <c r="J43" s="1731"/>
      <c r="K43" s="1731"/>
      <c r="L43" s="1645"/>
      <c r="M43" s="147" t="s">
        <v>3223</v>
      </c>
      <c r="N43" s="147"/>
      <c r="O43" s="147"/>
      <c r="P43" s="810"/>
      <c r="Q43" s="142"/>
      <c r="R43" s="646" t="s">
        <v>342</v>
      </c>
      <c r="S43" s="1641" t="s">
        <v>3909</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4028</v>
      </c>
      <c r="C44" s="1642"/>
      <c r="D44" s="1643"/>
      <c r="E44" s="1643"/>
      <c r="F44" s="1643"/>
      <c r="G44" s="1644">
        <v>1</v>
      </c>
      <c r="H44" s="1645"/>
      <c r="I44" s="1644"/>
      <c r="J44" s="1731"/>
      <c r="K44" s="1731"/>
      <c r="L44" s="1645"/>
      <c r="M44" s="1743" t="s">
        <v>4043</v>
      </c>
      <c r="N44" s="223"/>
      <c r="O44" s="223"/>
      <c r="P44" s="805"/>
      <c r="Q44" s="142"/>
      <c r="R44" s="646" t="s">
        <v>343</v>
      </c>
      <c r="S44" s="1641" t="s">
        <v>4028</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3178</v>
      </c>
      <c r="C45" s="1642"/>
      <c r="D45" s="1643"/>
      <c r="E45" s="1643"/>
      <c r="F45" s="1643"/>
      <c r="G45" s="1644">
        <v>10</v>
      </c>
      <c r="H45" s="1645">
        <v>5</v>
      </c>
      <c r="I45" s="1644"/>
      <c r="J45" s="1731"/>
      <c r="K45" s="1731"/>
      <c r="L45" s="1645"/>
      <c r="M45" s="1743" t="s">
        <v>4406</v>
      </c>
      <c r="N45" s="223"/>
      <c r="O45" s="241" t="s">
        <v>4042</v>
      </c>
      <c r="P45" s="1824" t="str">
        <f>IF('Part VII-Threshold Criteria OLD'!$P$341="Agree","Yes","")</f>
        <v/>
      </c>
      <c r="Q45" s="142"/>
      <c r="R45" s="646" t="s">
        <v>344</v>
      </c>
      <c r="S45" s="1641" t="s">
        <v>3178</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4029</v>
      </c>
      <c r="C46" s="1642"/>
      <c r="D46" s="1643"/>
      <c r="E46" s="1643"/>
      <c r="F46" s="1643"/>
      <c r="G46" s="1644">
        <v>3</v>
      </c>
      <c r="H46" s="1645"/>
      <c r="I46" s="1644"/>
      <c r="J46" s="1731"/>
      <c r="K46" s="1731"/>
      <c r="L46" s="1645"/>
      <c r="M46" s="1743"/>
      <c r="N46" s="223"/>
      <c r="O46" s="241" t="s">
        <v>4452</v>
      </c>
      <c r="P46" s="1825" t="str">
        <f>IF('Part VII-Threshold Criteria OLD'!$P$344="Agree","Yes","")</f>
        <v/>
      </c>
      <c r="Q46" s="142"/>
      <c r="R46" s="646" t="s">
        <v>1602</v>
      </c>
      <c r="S46" s="1641" t="s">
        <v>4029</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3282</v>
      </c>
      <c r="B47" s="1641" t="s">
        <v>3913</v>
      </c>
      <c r="C47" s="1642"/>
      <c r="D47" s="1643"/>
      <c r="E47" s="1643"/>
      <c r="F47" s="1643"/>
      <c r="G47" s="1644">
        <v>5</v>
      </c>
      <c r="H47" s="1645"/>
      <c r="I47" s="1644"/>
      <c r="J47" s="1731"/>
      <c r="K47" s="1731"/>
      <c r="L47" s="1645"/>
      <c r="M47" s="1217"/>
      <c r="N47" s="1767"/>
      <c r="O47" s="1744" t="s">
        <v>4453</v>
      </c>
      <c r="P47" s="1826" t="str">
        <f>IF('Part VII-Threshold Criteria OLD'!$P$346="Agree","Yes","")</f>
        <v/>
      </c>
      <c r="Q47" s="142"/>
      <c r="R47" s="646" t="s">
        <v>3282</v>
      </c>
      <c r="S47" s="1641" t="s">
        <v>3913</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3679</v>
      </c>
      <c r="C48" s="1642"/>
      <c r="D48" s="1643"/>
      <c r="E48" s="1643"/>
      <c r="F48" s="1643"/>
      <c r="G48" s="1644">
        <v>4</v>
      </c>
      <c r="H48" s="1645">
        <v>4</v>
      </c>
      <c r="I48" s="1644">
        <v>4</v>
      </c>
      <c r="J48" s="1731">
        <v>4</v>
      </c>
      <c r="K48" s="1731">
        <v>4</v>
      </c>
      <c r="L48" s="1645">
        <v>4</v>
      </c>
      <c r="M48" s="1761" t="s">
        <v>2437</v>
      </c>
      <c r="N48" s="1762"/>
      <c r="O48" s="1763"/>
      <c r="P48" s="1173"/>
      <c r="R48" s="646" t="s">
        <v>2075</v>
      </c>
      <c r="S48" s="1641" t="s">
        <v>3679</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3164</v>
      </c>
    </row>
    <row r="49" spans="1:46" s="115" customFormat="1" ht="10.5" customHeight="1">
      <c r="A49" s="646" t="s">
        <v>3282</v>
      </c>
      <c r="B49" s="1641" t="s">
        <v>4443</v>
      </c>
      <c r="C49" s="1642"/>
      <c r="D49" s="1643"/>
      <c r="E49" s="1643"/>
      <c r="F49" s="1643"/>
      <c r="G49" s="1644">
        <v>2</v>
      </c>
      <c r="H49" s="1645">
        <v>2</v>
      </c>
      <c r="I49" s="1644">
        <v>2</v>
      </c>
      <c r="J49" s="1731">
        <v>2</v>
      </c>
      <c r="K49" s="1731">
        <v>2</v>
      </c>
      <c r="L49" s="1645">
        <v>2</v>
      </c>
      <c r="M49" s="1764" t="s">
        <v>4454</v>
      </c>
      <c r="N49" s="1765"/>
      <c r="O49" s="1766"/>
      <c r="P49" s="805"/>
      <c r="R49" s="646" t="s">
        <v>3282</v>
      </c>
      <c r="S49" s="1641" t="s">
        <v>4443</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4591</v>
      </c>
      <c r="AR49" s="223"/>
      <c r="AS49" s="72"/>
      <c r="AT49" s="1822" t="e">
        <f>#REF!+#REF!+#REF!</f>
        <v>#REF!</v>
      </c>
    </row>
    <row r="50" spans="1:46" s="115" customFormat="1" ht="10.5" customHeight="1">
      <c r="A50" s="646" t="s">
        <v>3283</v>
      </c>
      <c r="B50" s="1641" t="s">
        <v>4444</v>
      </c>
      <c r="C50" s="1642"/>
      <c r="D50" s="1643"/>
      <c r="E50" s="1643"/>
      <c r="F50" s="1643"/>
      <c r="G50" s="1644">
        <v>2</v>
      </c>
      <c r="H50" s="1645">
        <v>2</v>
      </c>
      <c r="I50" s="1644">
        <v>2</v>
      </c>
      <c r="J50" s="1731">
        <v>2</v>
      </c>
      <c r="K50" s="1731">
        <v>2</v>
      </c>
      <c r="L50" s="1645">
        <v>2</v>
      </c>
      <c r="M50" s="147" t="s">
        <v>4455</v>
      </c>
      <c r="N50" s="72"/>
      <c r="O50" s="72"/>
      <c r="P50" s="455" t="e">
        <f>#REF!</f>
        <v>#REF!</v>
      </c>
      <c r="R50" s="646" t="s">
        <v>3283</v>
      </c>
      <c r="S50" s="1641" t="s">
        <v>4444</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4582</v>
      </c>
      <c r="AR50" s="1457"/>
      <c r="AS50" s="1457"/>
      <c r="AT50" s="1823" t="e">
        <f>#REF!+#REF!-#REF!-#REF!</f>
        <v>#REF!</v>
      </c>
    </row>
    <row r="51" spans="1:46" s="115" customFormat="1" ht="10.5" customHeight="1">
      <c r="A51" s="646" t="s">
        <v>3281</v>
      </c>
      <c r="B51" s="1641" t="s">
        <v>4449</v>
      </c>
      <c r="C51" s="1642"/>
      <c r="D51" s="1643"/>
      <c r="E51" s="1643"/>
      <c r="F51" s="1643"/>
      <c r="G51" s="1644">
        <v>2</v>
      </c>
      <c r="H51" s="1645"/>
      <c r="I51" s="1644"/>
      <c r="J51" s="1731">
        <v>2</v>
      </c>
      <c r="K51" s="1731">
        <v>2</v>
      </c>
      <c r="L51" s="1645">
        <v>2</v>
      </c>
      <c r="Q51" s="142"/>
      <c r="R51" s="646" t="s">
        <v>3281</v>
      </c>
      <c r="S51" s="1641" t="s">
        <v>4449</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3284</v>
      </c>
      <c r="B52" s="1641" t="s">
        <v>4030</v>
      </c>
      <c r="C52" s="1642"/>
      <c r="D52" s="1643"/>
      <c r="E52" s="1643"/>
      <c r="F52" s="1643"/>
      <c r="G52" s="1644">
        <v>2</v>
      </c>
      <c r="H52" s="1645"/>
      <c r="I52" s="1644"/>
      <c r="J52" s="1731">
        <v>2</v>
      </c>
      <c r="K52" s="1731">
        <v>2</v>
      </c>
      <c r="L52" s="1645">
        <v>2</v>
      </c>
      <c r="M52" s="4620" t="s">
        <v>4627</v>
      </c>
      <c r="N52" s="4621"/>
      <c r="O52" s="4621"/>
      <c r="P52" s="4621"/>
      <c r="Q52" s="391"/>
      <c r="R52" s="646" t="s">
        <v>3284</v>
      </c>
      <c r="S52" s="1641" t="s">
        <v>4030</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3285</v>
      </c>
      <c r="B53" s="1641" t="s">
        <v>3309</v>
      </c>
      <c r="C53" s="1642"/>
      <c r="D53" s="1643"/>
      <c r="E53" s="1643"/>
      <c r="F53" s="1643"/>
      <c r="G53" s="1644">
        <v>2</v>
      </c>
      <c r="H53" s="1645"/>
      <c r="I53" s="1644"/>
      <c r="J53" s="1731">
        <v>2</v>
      </c>
      <c r="K53" s="1731">
        <v>2</v>
      </c>
      <c r="L53" s="1645">
        <v>2</v>
      </c>
      <c r="M53" s="4620"/>
      <c r="N53" s="4621"/>
      <c r="O53" s="4621"/>
      <c r="P53" s="4621"/>
      <c r="R53" s="646" t="s">
        <v>3285</v>
      </c>
      <c r="S53" s="1641" t="s">
        <v>3309</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3288</v>
      </c>
      <c r="B54" s="1641" t="s">
        <v>3310</v>
      </c>
      <c r="C54" s="1642"/>
      <c r="D54" s="1643"/>
      <c r="E54" s="1643"/>
      <c r="F54" s="1643"/>
      <c r="G54" s="1644">
        <v>4</v>
      </c>
      <c r="H54" s="1645">
        <v>2</v>
      </c>
      <c r="I54" s="1644">
        <v>2</v>
      </c>
      <c r="J54" s="1731">
        <v>4</v>
      </c>
      <c r="K54" s="1731">
        <v>4</v>
      </c>
      <c r="L54" s="1645">
        <v>4</v>
      </c>
      <c r="M54" s="4622"/>
      <c r="N54" s="4623"/>
      <c r="O54" s="4623"/>
      <c r="P54" s="4623"/>
      <c r="R54" s="646" t="s">
        <v>3288</v>
      </c>
      <c r="S54" s="1641" t="s">
        <v>3310</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3289</v>
      </c>
      <c r="B55" s="1641" t="s">
        <v>3311</v>
      </c>
      <c r="C55" s="1642"/>
      <c r="D55" s="1643"/>
      <c r="E55" s="1643"/>
      <c r="F55" s="1643"/>
      <c r="G55" s="1644">
        <v>2</v>
      </c>
      <c r="H55" s="1645"/>
      <c r="I55" s="1644"/>
      <c r="J55" s="1731"/>
      <c r="K55" s="1731"/>
      <c r="L55" s="1645"/>
      <c r="M55" s="4488" t="s">
        <v>4603</v>
      </c>
      <c r="N55" s="4489"/>
      <c r="O55" s="4489"/>
      <c r="P55" s="4490"/>
      <c r="R55" s="646" t="s">
        <v>3289</v>
      </c>
      <c r="S55" s="1641" t="s">
        <v>3311</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3290</v>
      </c>
      <c r="B56" s="1641" t="s">
        <v>4031</v>
      </c>
      <c r="C56" s="1642"/>
      <c r="D56" s="1643"/>
      <c r="E56" s="1643"/>
      <c r="F56" s="1643"/>
      <c r="G56" s="1644">
        <v>10</v>
      </c>
      <c r="H56" s="1645">
        <v>10</v>
      </c>
      <c r="I56" s="1644">
        <v>10</v>
      </c>
      <c r="J56" s="1731">
        <v>10</v>
      </c>
      <c r="K56" s="1731">
        <v>10</v>
      </c>
      <c r="L56" s="1645">
        <v>10</v>
      </c>
      <c r="M56" s="4491"/>
      <c r="N56" s="4492"/>
      <c r="O56" s="4492"/>
      <c r="P56" s="4493"/>
      <c r="R56" s="646" t="s">
        <v>3290</v>
      </c>
      <c r="S56" s="1641" t="s">
        <v>4031</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3291</v>
      </c>
      <c r="B57" s="1641" t="s">
        <v>4445</v>
      </c>
      <c r="C57" s="1642"/>
      <c r="D57" s="1643"/>
      <c r="E57" s="1643"/>
      <c r="F57" s="1643"/>
      <c r="G57" s="1644">
        <v>3</v>
      </c>
      <c r="H57" s="1645">
        <v>3</v>
      </c>
      <c r="I57" s="1644">
        <v>3</v>
      </c>
      <c r="J57" s="1731">
        <v>3</v>
      </c>
      <c r="K57" s="1731">
        <v>3</v>
      </c>
      <c r="L57" s="1645">
        <v>3</v>
      </c>
      <c r="R57" s="646" t="s">
        <v>3291</v>
      </c>
      <c r="S57" s="1641" t="s">
        <v>4445</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3292</v>
      </c>
      <c r="B58" s="1641" t="s">
        <v>4032</v>
      </c>
      <c r="C58" s="1642"/>
      <c r="D58" s="1643"/>
      <c r="E58" s="1643"/>
      <c r="F58" s="1643"/>
      <c r="G58" s="1644"/>
      <c r="H58" s="1645"/>
      <c r="I58" s="1644">
        <v>6</v>
      </c>
      <c r="J58" s="1731">
        <v>6</v>
      </c>
      <c r="K58" s="1731">
        <v>6</v>
      </c>
      <c r="L58" s="1645">
        <v>6</v>
      </c>
      <c r="M58" s="4486" t="s">
        <v>4040</v>
      </c>
      <c r="N58" s="4487"/>
      <c r="O58" s="4487"/>
      <c r="P58" s="4487"/>
      <c r="Q58" s="142"/>
      <c r="R58" s="646" t="s">
        <v>3292</v>
      </c>
      <c r="S58" s="1641" t="s">
        <v>4032</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3293</v>
      </c>
      <c r="B59" s="1641" t="s">
        <v>4446</v>
      </c>
      <c r="C59" s="1642"/>
      <c r="D59" s="1643"/>
      <c r="E59" s="1643"/>
      <c r="F59" s="1643"/>
      <c r="G59" s="1644"/>
      <c r="H59" s="1645"/>
      <c r="I59" s="1644">
        <v>6</v>
      </c>
      <c r="J59" s="1731">
        <v>6</v>
      </c>
      <c r="K59" s="1731">
        <v>6</v>
      </c>
      <c r="L59" s="1645">
        <v>6</v>
      </c>
      <c r="M59" s="4618"/>
      <c r="N59" s="4619"/>
      <c r="O59" s="4619"/>
      <c r="P59" s="4619"/>
      <c r="Q59" s="142"/>
      <c r="R59" s="646" t="s">
        <v>3293</v>
      </c>
      <c r="S59" s="1641" t="s">
        <v>4446</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3678</v>
      </c>
      <c r="B60" s="1641" t="s">
        <v>4447</v>
      </c>
      <c r="C60" s="1642"/>
      <c r="D60" s="1643"/>
      <c r="E60" s="1643"/>
      <c r="F60" s="1643"/>
      <c r="G60" s="1644"/>
      <c r="H60" s="1645"/>
      <c r="I60" s="1644">
        <v>4</v>
      </c>
      <c r="J60" s="1731">
        <v>4</v>
      </c>
      <c r="K60" s="1731">
        <v>4</v>
      </c>
      <c r="L60" s="1645">
        <v>4</v>
      </c>
      <c r="M60" s="4349" t="s">
        <v>4604</v>
      </c>
      <c r="N60" s="4350"/>
      <c r="O60" s="4350"/>
      <c r="P60" s="4351"/>
      <c r="R60" s="646" t="s">
        <v>3678</v>
      </c>
      <c r="S60" s="1641" t="s">
        <v>4447</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4450</v>
      </c>
      <c r="B61" s="1646" t="s">
        <v>4448</v>
      </c>
      <c r="C61" s="1647"/>
      <c r="D61" s="1648"/>
      <c r="E61" s="1648"/>
      <c r="F61" s="1648"/>
      <c r="G61" s="1649"/>
      <c r="H61" s="1650"/>
      <c r="I61" s="1649">
        <v>6</v>
      </c>
      <c r="J61" s="1907">
        <v>4</v>
      </c>
      <c r="K61" s="1907">
        <v>6</v>
      </c>
      <c r="L61" s="1650">
        <v>4</v>
      </c>
      <c r="M61" s="4352"/>
      <c r="N61" s="4353"/>
      <c r="O61" s="4353"/>
      <c r="P61" s="4354"/>
      <c r="Q61" s="142"/>
      <c r="R61" s="646" t="s">
        <v>4450</v>
      </c>
      <c r="S61" s="1646" t="s">
        <v>4448</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4140</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2490</v>
      </c>
      <c r="C64" s="4"/>
      <c r="D64" s="4"/>
      <c r="E64" s="4"/>
      <c r="F64" s="29"/>
      <c r="G64" s="29"/>
      <c r="H64" s="147" t="s">
        <v>3704</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8"/>
      <c r="N66" s="48" t="s">
        <v>1836</v>
      </c>
      <c r="P66" s="1521">
        <f>SUM(P67:P69)</f>
        <v>0</v>
      </c>
      <c r="Q66" s="29" t="s">
        <v>4138</v>
      </c>
    </row>
    <row r="67" spans="1:20" s="36" customFormat="1" ht="12.75" customHeight="1">
      <c r="A67" s="107"/>
      <c r="B67" s="1522" t="s">
        <v>1839</v>
      </c>
      <c r="C67" s="81" t="s">
        <v>3683</v>
      </c>
      <c r="D67" s="41"/>
      <c r="E67" s="41"/>
      <c r="F67" s="878"/>
      <c r="H67" s="147" t="s">
        <v>3091</v>
      </c>
      <c r="J67" s="42"/>
      <c r="N67" s="316" t="s">
        <v>1839</v>
      </c>
      <c r="P67" s="889">
        <f>F75</f>
        <v>0</v>
      </c>
    </row>
    <row r="68" spans="1:20" s="36" customFormat="1" ht="12.75" customHeight="1">
      <c r="A68" s="107"/>
      <c r="B68" s="1522" t="s">
        <v>1841</v>
      </c>
      <c r="C68" s="81" t="s">
        <v>4137</v>
      </c>
      <c r="D68" s="41"/>
      <c r="E68" s="41"/>
      <c r="F68" s="878"/>
      <c r="H68" s="147" t="s">
        <v>3681</v>
      </c>
      <c r="J68" s="42"/>
      <c r="N68" s="316" t="s">
        <v>1841</v>
      </c>
      <c r="P68" s="1118">
        <f>J75</f>
        <v>0</v>
      </c>
    </row>
    <row r="69" spans="1:20" s="36" customFormat="1" ht="12.75" customHeight="1">
      <c r="A69" s="107"/>
      <c r="B69" s="1522" t="s">
        <v>2326</v>
      </c>
      <c r="C69" s="81" t="s">
        <v>3682</v>
      </c>
      <c r="D69" s="41"/>
      <c r="E69" s="41"/>
      <c r="F69" s="878"/>
      <c r="H69" s="147" t="s">
        <v>3686</v>
      </c>
      <c r="J69" s="42"/>
      <c r="N69" s="316" t="s">
        <v>2326</v>
      </c>
      <c r="P69" s="1119"/>
    </row>
    <row r="70" spans="1:20" s="36" customFormat="1" ht="12.75" customHeight="1">
      <c r="C70" s="4401" t="s">
        <v>3770</v>
      </c>
      <c r="D70" s="4402"/>
      <c r="E70" s="4402"/>
      <c r="F70" s="4402"/>
      <c r="G70" s="4402"/>
      <c r="H70" s="4402"/>
      <c r="I70" s="4402"/>
      <c r="J70" s="4402"/>
      <c r="K70" s="4402"/>
      <c r="L70" s="4402"/>
      <c r="M70" s="4402"/>
      <c r="N70" s="4402"/>
      <c r="O70" s="4402"/>
      <c r="P70" s="4403"/>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2466</v>
      </c>
      <c r="J72" s="42"/>
      <c r="M72" s="5"/>
      <c r="N72" s="48" t="s">
        <v>1838</v>
      </c>
      <c r="P72" s="1121">
        <f>O75</f>
        <v>0</v>
      </c>
      <c r="Q72" s="29" t="s">
        <v>4138</v>
      </c>
    </row>
    <row r="73" spans="1:20" s="36" customFormat="1" ht="3" customHeight="1">
      <c r="A73" s="455"/>
      <c r="B73" s="452"/>
      <c r="C73" s="453"/>
      <c r="D73" s="108"/>
      <c r="K73" s="676"/>
      <c r="L73" s="676"/>
      <c r="M73" s="457"/>
      <c r="N73" s="316"/>
      <c r="O73" s="679"/>
      <c r="P73" s="679"/>
    </row>
    <row r="74" spans="1:20" s="35" customFormat="1" ht="12.75" customHeight="1">
      <c r="A74" s="4315" t="s">
        <v>3973</v>
      </c>
      <c r="B74" s="4315"/>
      <c r="C74" s="4315"/>
      <c r="D74" s="4315"/>
      <c r="E74" s="4315"/>
      <c r="F74" s="1117" t="s">
        <v>3303</v>
      </c>
      <c r="G74" s="4473" t="s">
        <v>3975</v>
      </c>
      <c r="H74" s="4473"/>
      <c r="I74" s="4473"/>
      <c r="J74" s="1117" t="s">
        <v>3303</v>
      </c>
      <c r="K74" s="4477" t="s">
        <v>3974</v>
      </c>
      <c r="L74" s="4477"/>
      <c r="M74" s="4477"/>
      <c r="N74" s="4477"/>
      <c r="O74" s="4471" t="s">
        <v>3303</v>
      </c>
      <c r="P74" s="4472"/>
      <c r="R74" s="355"/>
      <c r="S74" s="125"/>
    </row>
    <row r="75" spans="1:20" s="35" customFormat="1" ht="12.75" customHeight="1">
      <c r="A75" s="4470"/>
      <c r="B75" s="4470"/>
      <c r="C75" s="4470"/>
      <c r="D75" s="4470"/>
      <c r="E75" s="4470"/>
      <c r="F75" s="57">
        <f>SUM(F76:F87)</f>
        <v>0</v>
      </c>
      <c r="G75" s="4474"/>
      <c r="H75" s="4475"/>
      <c r="I75" s="4476"/>
      <c r="J75" s="57">
        <f>SUM(J76:J87)</f>
        <v>0</v>
      </c>
      <c r="K75" s="4478"/>
      <c r="L75" s="4479"/>
      <c r="M75" s="4479"/>
      <c r="N75" s="4480"/>
      <c r="O75" s="4461">
        <f>SUM(O76:O87)</f>
        <v>0</v>
      </c>
      <c r="P75" s="4462"/>
      <c r="Q75" s="355"/>
      <c r="R75" s="125"/>
    </row>
    <row r="76" spans="1:20" s="35" customFormat="1" ht="24.75" customHeight="1">
      <c r="A76" s="4463">
        <v>1</v>
      </c>
      <c r="B76" s="4464"/>
      <c r="C76" s="4464"/>
      <c r="D76" s="4464"/>
      <c r="E76" s="4465"/>
      <c r="F76" s="667"/>
      <c r="G76" s="4463">
        <v>1</v>
      </c>
      <c r="H76" s="4464"/>
      <c r="I76" s="4465"/>
      <c r="J76" s="670" t="s">
        <v>1607</v>
      </c>
      <c r="K76" s="4466">
        <v>1</v>
      </c>
      <c r="L76" s="4467"/>
      <c r="M76" s="4467"/>
      <c r="N76" s="4467"/>
      <c r="O76" s="4468" t="s">
        <v>1607</v>
      </c>
      <c r="P76" s="4469"/>
      <c r="Q76" s="353" t="s">
        <v>1179</v>
      </c>
      <c r="R76" s="125"/>
    </row>
    <row r="77" spans="1:20" s="35" customFormat="1" ht="24.75" customHeight="1">
      <c r="A77" s="4360">
        <v>2</v>
      </c>
      <c r="B77" s="4361"/>
      <c r="C77" s="4361"/>
      <c r="D77" s="4361"/>
      <c r="E77" s="4362"/>
      <c r="F77" s="668"/>
      <c r="G77" s="4360">
        <v>2</v>
      </c>
      <c r="H77" s="4361"/>
      <c r="I77" s="4362"/>
      <c r="J77" s="668"/>
      <c r="K77" s="4394">
        <v>2</v>
      </c>
      <c r="L77" s="4395"/>
      <c r="M77" s="4395"/>
      <c r="N77" s="4395"/>
      <c r="O77" s="4355"/>
      <c r="P77" s="4356"/>
      <c r="Q77" s="354"/>
      <c r="R77" s="125"/>
    </row>
    <row r="78" spans="1:20" s="35" customFormat="1" ht="24.75" customHeight="1">
      <c r="A78" s="4360">
        <v>3</v>
      </c>
      <c r="B78" s="4361"/>
      <c r="C78" s="4361"/>
      <c r="D78" s="4361"/>
      <c r="E78" s="4362"/>
      <c r="F78" s="668"/>
      <c r="G78" s="4360">
        <v>3</v>
      </c>
      <c r="H78" s="4361"/>
      <c r="I78" s="4362"/>
      <c r="J78" s="921" t="s">
        <v>2570</v>
      </c>
      <c r="K78" s="4394">
        <v>3</v>
      </c>
      <c r="L78" s="4395"/>
      <c r="M78" s="4395"/>
      <c r="N78" s="4395"/>
      <c r="O78" s="4581" t="s">
        <v>2570</v>
      </c>
      <c r="P78" s="4582"/>
      <c r="Q78" s="4624" t="s">
        <v>3684</v>
      </c>
      <c r="R78" s="4625"/>
      <c r="S78" s="1120"/>
      <c r="T78" s="1120"/>
    </row>
    <row r="79" spans="1:20" s="35" customFormat="1" ht="24.75" customHeight="1">
      <c r="A79" s="4360">
        <v>4</v>
      </c>
      <c r="B79" s="4361"/>
      <c r="C79" s="4361"/>
      <c r="D79" s="4361"/>
      <c r="E79" s="4362"/>
      <c r="F79" s="668"/>
      <c r="G79" s="4360">
        <v>4</v>
      </c>
      <c r="H79" s="4361"/>
      <c r="I79" s="4362"/>
      <c r="J79" s="668"/>
      <c r="K79" s="4394">
        <v>4</v>
      </c>
      <c r="L79" s="4395"/>
      <c r="M79" s="4395"/>
      <c r="N79" s="4395"/>
      <c r="O79" s="4581" t="s">
        <v>2570</v>
      </c>
      <c r="P79" s="4582"/>
      <c r="Q79" s="4624"/>
      <c r="R79" s="4625"/>
      <c r="S79" s="1120"/>
      <c r="T79" s="1120"/>
    </row>
    <row r="80" spans="1:20" s="35" customFormat="1" ht="24.75" customHeight="1">
      <c r="A80" s="4360">
        <v>5</v>
      </c>
      <c r="B80" s="4361"/>
      <c r="C80" s="4361"/>
      <c r="D80" s="4361"/>
      <c r="E80" s="4362"/>
      <c r="F80" s="668"/>
      <c r="G80" s="4360">
        <v>5</v>
      </c>
      <c r="H80" s="4361"/>
      <c r="I80" s="4362"/>
      <c r="J80" s="921" t="s">
        <v>3061</v>
      </c>
      <c r="K80" s="4394">
        <v>5</v>
      </c>
      <c r="L80" s="4395"/>
      <c r="M80" s="4395"/>
      <c r="N80" s="4395"/>
      <c r="O80" s="4355"/>
      <c r="P80" s="4356"/>
      <c r="Q80" s="4624"/>
      <c r="R80" s="4625"/>
      <c r="S80" s="1120"/>
      <c r="T80" s="1120"/>
    </row>
    <row r="81" spans="1:19" s="35" customFormat="1" ht="24" customHeight="1">
      <c r="A81" s="4360">
        <v>6</v>
      </c>
      <c r="B81" s="4361"/>
      <c r="C81" s="4361"/>
      <c r="D81" s="4361"/>
      <c r="E81" s="4362"/>
      <c r="F81" s="668"/>
      <c r="G81" s="4360">
        <v>6</v>
      </c>
      <c r="H81" s="4361"/>
      <c r="I81" s="4362"/>
      <c r="J81" s="668"/>
      <c r="K81" s="4394">
        <v>6</v>
      </c>
      <c r="L81" s="4395"/>
      <c r="M81" s="4395"/>
      <c r="N81" s="4395"/>
      <c r="O81" s="4355"/>
      <c r="P81" s="4356"/>
      <c r="Q81" s="4624"/>
      <c r="R81" s="4625"/>
    </row>
    <row r="82" spans="1:19" s="35" customFormat="1" ht="24.75" customHeight="1">
      <c r="A82" s="4360">
        <v>7</v>
      </c>
      <c r="B82" s="4361"/>
      <c r="C82" s="4361"/>
      <c r="D82" s="4361"/>
      <c r="E82" s="4362"/>
      <c r="F82" s="668"/>
      <c r="G82" s="4360">
        <v>7</v>
      </c>
      <c r="H82" s="4361"/>
      <c r="I82" s="4362"/>
      <c r="J82" s="921" t="s">
        <v>3062</v>
      </c>
      <c r="K82" s="4394">
        <v>7</v>
      </c>
      <c r="L82" s="4395"/>
      <c r="M82" s="4395"/>
      <c r="N82" s="4395"/>
      <c r="O82" s="4355"/>
      <c r="P82" s="4356"/>
      <c r="Q82" s="125"/>
      <c r="R82" s="125"/>
    </row>
    <row r="83" spans="1:19" s="35" customFormat="1" ht="24.75" customHeight="1">
      <c r="A83" s="4360">
        <v>8</v>
      </c>
      <c r="B83" s="4361"/>
      <c r="C83" s="4361"/>
      <c r="D83" s="4361"/>
      <c r="E83" s="4362"/>
      <c r="F83" s="668"/>
      <c r="G83" s="4360">
        <v>8</v>
      </c>
      <c r="H83" s="4361"/>
      <c r="I83" s="4362"/>
      <c r="J83" s="668"/>
      <c r="K83" s="4394">
        <v>8</v>
      </c>
      <c r="L83" s="4395"/>
      <c r="M83" s="4395"/>
      <c r="N83" s="4395"/>
      <c r="O83" s="4355"/>
      <c r="P83" s="4356"/>
      <c r="Q83" s="125"/>
      <c r="R83" s="125"/>
    </row>
    <row r="84" spans="1:19" s="35" customFormat="1" ht="24.75" customHeight="1">
      <c r="A84" s="4360">
        <v>9</v>
      </c>
      <c r="B84" s="4361"/>
      <c r="C84" s="4361"/>
      <c r="D84" s="4361"/>
      <c r="E84" s="4362"/>
      <c r="F84" s="668"/>
      <c r="G84" s="4360">
        <v>9</v>
      </c>
      <c r="H84" s="4361"/>
      <c r="I84" s="4362"/>
      <c r="J84" s="921" t="s">
        <v>3063</v>
      </c>
      <c r="K84" s="4394">
        <v>9</v>
      </c>
      <c r="L84" s="4395"/>
      <c r="M84" s="4395"/>
      <c r="N84" s="4395"/>
      <c r="O84" s="4355"/>
      <c r="P84" s="4356"/>
      <c r="Q84" s="125"/>
      <c r="R84" s="125"/>
    </row>
    <row r="85" spans="1:19" s="35" customFormat="1" ht="24.75" customHeight="1">
      <c r="A85" s="4360">
        <v>10</v>
      </c>
      <c r="B85" s="4361"/>
      <c r="C85" s="4361"/>
      <c r="D85" s="4361"/>
      <c r="E85" s="4362"/>
      <c r="F85" s="668"/>
      <c r="G85" s="4360">
        <v>10</v>
      </c>
      <c r="H85" s="4361"/>
      <c r="I85" s="4362"/>
      <c r="J85" s="668"/>
      <c r="K85" s="4394">
        <v>10</v>
      </c>
      <c r="L85" s="4395"/>
      <c r="M85" s="4395"/>
      <c r="N85" s="4395"/>
      <c r="O85" s="4355"/>
      <c r="P85" s="4356"/>
      <c r="Q85" s="125"/>
    </row>
    <row r="86" spans="1:19" s="35" customFormat="1" ht="24.75" customHeight="1">
      <c r="A86" s="4360">
        <v>11</v>
      </c>
      <c r="B86" s="4361"/>
      <c r="C86" s="4361"/>
      <c r="D86" s="4361"/>
      <c r="E86" s="4362"/>
      <c r="F86" s="668"/>
      <c r="G86" s="4360">
        <v>11</v>
      </c>
      <c r="H86" s="4361"/>
      <c r="I86" s="4362"/>
      <c r="J86" s="921" t="s">
        <v>3064</v>
      </c>
      <c r="K86" s="4360">
        <v>11</v>
      </c>
      <c r="L86" s="4361"/>
      <c r="M86" s="4361"/>
      <c r="N86" s="4362"/>
      <c r="O86" s="4355"/>
      <c r="P86" s="4356"/>
      <c r="Q86" s="125"/>
      <c r="R86" s="125"/>
    </row>
    <row r="87" spans="1:19" s="35" customFormat="1" ht="24.75" customHeight="1">
      <c r="A87" s="4380">
        <v>12</v>
      </c>
      <c r="B87" s="4381"/>
      <c r="C87" s="4381"/>
      <c r="D87" s="4381"/>
      <c r="E87" s="4382"/>
      <c r="F87" s="669"/>
      <c r="G87" s="4380">
        <v>12</v>
      </c>
      <c r="H87" s="4381"/>
      <c r="I87" s="4382"/>
      <c r="J87" s="669"/>
      <c r="K87" s="4380">
        <v>12</v>
      </c>
      <c r="L87" s="4381"/>
      <c r="M87" s="4381"/>
      <c r="N87" s="4382"/>
      <c r="O87" s="4383"/>
      <c r="P87" s="438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3065</v>
      </c>
      <c r="E89" s="32"/>
      <c r="G89" s="66"/>
      <c r="I89" s="1460" t="s">
        <v>3800</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3693</v>
      </c>
      <c r="G90" s="67"/>
      <c r="H90" s="29"/>
      <c r="I90" s="38"/>
      <c r="K90" s="404"/>
      <c r="L90" s="671"/>
      <c r="M90" s="119"/>
      <c r="N90" s="5"/>
      <c r="O90" s="3"/>
      <c r="P90" s="3"/>
      <c r="Q90" s="86"/>
      <c r="R90" s="307"/>
    </row>
    <row r="91" spans="1:19" s="36" customFormat="1" ht="13.5" customHeight="1">
      <c r="A91" s="107" t="s">
        <v>1836</v>
      </c>
      <c r="B91" s="153" t="s">
        <v>4041</v>
      </c>
      <c r="E91" s="32"/>
      <c r="G91" s="67"/>
      <c r="H91" s="44" t="s">
        <v>4540</v>
      </c>
      <c r="I91" s="1178" t="e">
        <f>#REF!</f>
        <v>#REF!</v>
      </c>
      <c r="M91" s="119"/>
      <c r="N91" s="5"/>
      <c r="P91" s="1853" t="e">
        <f>IF(AND(O89&gt;0,NOT($M$55="New Supply")), "Ineligible to score in this section, not New Supply!","")</f>
        <v>#REF!</v>
      </c>
      <c r="Q91" s="5"/>
      <c r="R91" s="307"/>
    </row>
    <row r="92" spans="1:19" s="70" customFormat="1" ht="9" customHeight="1">
      <c r="A92" s="107"/>
      <c r="B92" s="4615" t="s">
        <v>3687</v>
      </c>
      <c r="C92" s="4615"/>
      <c r="D92" s="4615"/>
      <c r="E92" s="4615"/>
      <c r="F92" s="4615"/>
      <c r="G92" s="4615"/>
      <c r="H92" s="4615"/>
      <c r="I92" s="4615"/>
      <c r="J92" s="4615"/>
      <c r="K92" s="4615"/>
      <c r="L92" s="4615"/>
      <c r="M92" s="119"/>
      <c r="N92" s="5"/>
      <c r="Q92" s="5"/>
      <c r="R92" s="307"/>
    </row>
    <row r="93" spans="1:19" s="70" customFormat="1" ht="13.5" customHeight="1">
      <c r="B93" s="4615"/>
      <c r="C93" s="4615"/>
      <c r="D93" s="4615"/>
      <c r="E93" s="4615"/>
      <c r="F93" s="4615"/>
      <c r="G93" s="4615"/>
      <c r="H93" s="4615"/>
      <c r="I93" s="4615"/>
      <c r="J93" s="4615"/>
      <c r="K93" s="4615"/>
      <c r="L93" s="4615"/>
      <c r="M93" s="674">
        <v>2</v>
      </c>
      <c r="N93" s="316" t="s">
        <v>1836</v>
      </c>
      <c r="O93" s="680" t="e">
        <f>IF(AND(OR($J$89="9%",$J$89="4%"),$L$89="New Supply"),MIN($M93,O94+O95),0)</f>
        <v>#REF!</v>
      </c>
      <c r="P93" s="680" t="e">
        <f>IF(NOT($J$89="9%"),0,MIN($M93, P94+P95))</f>
        <v>#REF!</v>
      </c>
    </row>
    <row r="94" spans="1:19" s="70" customFormat="1" ht="13.5" customHeight="1">
      <c r="A94" s="107"/>
      <c r="B94" s="1134" t="s">
        <v>1839</v>
      </c>
      <c r="C94" s="1124" t="s">
        <v>3688</v>
      </c>
      <c r="D94" s="29"/>
      <c r="H94" s="29" t="s">
        <v>3689</v>
      </c>
      <c r="I94" s="1123"/>
      <c r="J94" s="1180" t="e">
        <f>#REF!</f>
        <v>#REF!</v>
      </c>
      <c r="L94" s="4564" t="str">
        <f>IF(AND(O94&gt;0,O95&gt;0), "CHOOSE EITHER A OR B, NOT BOTH!", "")</f>
        <v/>
      </c>
      <c r="M94" s="457">
        <v>2</v>
      </c>
      <c r="N94" s="150" t="s">
        <v>1839</v>
      </c>
      <c r="O94" s="405"/>
      <c r="P94" s="413"/>
      <c r="Q94" s="1153" t="str">
        <f>IF(OR($O94=$M94,$O94=0,$O94=""),"","*CHECK!*")</f>
        <v/>
      </c>
      <c r="R94" s="782" t="s">
        <v>3927</v>
      </c>
    </row>
    <row r="95" spans="1:19" s="70" customFormat="1" ht="13.5" customHeight="1">
      <c r="A95" s="395" t="s">
        <v>2918</v>
      </c>
      <c r="B95" s="1134" t="s">
        <v>1841</v>
      </c>
      <c r="C95" s="1124" t="s">
        <v>3690</v>
      </c>
      <c r="D95" s="29"/>
      <c r="I95" s="1123"/>
      <c r="K95" s="29"/>
      <c r="L95" s="4564"/>
      <c r="M95" s="457">
        <v>2</v>
      </c>
      <c r="N95" s="150" t="s">
        <v>1841</v>
      </c>
      <c r="O95" s="406"/>
      <c r="P95" s="414"/>
      <c r="Q95" s="1153" t="str">
        <f>IF(OR($O95=$M95,$O95=0,$O95=""),"","*CHECK!*")</f>
        <v/>
      </c>
      <c r="R95" s="782" t="s">
        <v>3927</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3092</v>
      </c>
      <c r="E97" s="79"/>
      <c r="H97" s="4365" t="s">
        <v>3691</v>
      </c>
      <c r="I97" s="4366"/>
      <c r="J97" s="1127" t="s">
        <v>3692</v>
      </c>
      <c r="M97" s="674">
        <v>3</v>
      </c>
      <c r="N97" s="128" t="s">
        <v>1838</v>
      </c>
      <c r="O97" s="680" t="e">
        <f>IF(AND(O98="Yes", O99="Yes"),$M$97,0)</f>
        <v>#REF!</v>
      </c>
      <c r="P97" s="680" t="e">
        <f>IF(AND(P98="Yes", P99="Yes"),$M$97,0)</f>
        <v>#REF!</v>
      </c>
    </row>
    <row r="98" spans="1:18" s="36" customFormat="1" ht="13.5" customHeight="1">
      <c r="A98" s="345"/>
      <c r="B98" s="1134" t="s">
        <v>1839</v>
      </c>
      <c r="C98" s="1125">
        <v>0.3</v>
      </c>
      <c r="D98" s="738" t="s">
        <v>3093</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3237</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4"/>
      <c r="B101" s="4115"/>
      <c r="C101" s="4115"/>
      <c r="D101" s="4115"/>
      <c r="E101" s="4115"/>
      <c r="F101" s="4115"/>
      <c r="G101" s="4115"/>
      <c r="H101" s="4115"/>
      <c r="I101" s="4115"/>
      <c r="J101" s="4115"/>
      <c r="K101" s="4115"/>
      <c r="L101" s="4115"/>
      <c r="M101" s="4115"/>
      <c r="N101" s="4115"/>
      <c r="O101" s="4115"/>
      <c r="P101" s="4116"/>
      <c r="Q101" s="353"/>
    </row>
    <row r="102" spans="1:18" ht="7.5" customHeight="1" thickBot="1"/>
    <row r="103" spans="1:18" s="36" customFormat="1" ht="13.5" customHeight="1" thickBot="1">
      <c r="A103" s="120" t="s">
        <v>1663</v>
      </c>
      <c r="B103" s="83" t="s">
        <v>3280</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3169</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3202</v>
      </c>
      <c r="D105" s="26"/>
      <c r="N105" s="48"/>
      <c r="O105" s="705"/>
      <c r="P105" s="1674"/>
    </row>
    <row r="106" spans="1:18" s="70" customFormat="1" ht="12.75" customHeight="1">
      <c r="A106" s="107" t="s">
        <v>1836</v>
      </c>
      <c r="B106" s="141" t="s">
        <v>1732</v>
      </c>
      <c r="C106" s="4"/>
      <c r="D106" s="4"/>
      <c r="F106" s="243"/>
      <c r="H106" s="646" t="s">
        <v>2462</v>
      </c>
      <c r="I106" s="4385" t="s">
        <v>3914</v>
      </c>
      <c r="J106" s="4386"/>
      <c r="K106" s="4386"/>
      <c r="L106" s="4387"/>
      <c r="M106" s="457">
        <v>20</v>
      </c>
      <c r="N106" s="150" t="s">
        <v>1836</v>
      </c>
      <c r="O106" s="1675"/>
      <c r="P106" s="1676"/>
      <c r="Q106" s="1153"/>
      <c r="R106" s="782" t="s">
        <v>3927</v>
      </c>
    </row>
    <row r="107" spans="1:18" s="70" customFormat="1" ht="12.75" customHeight="1">
      <c r="A107" s="107" t="s">
        <v>1838</v>
      </c>
      <c r="B107" s="141" t="s">
        <v>3196</v>
      </c>
      <c r="D107" s="867"/>
      <c r="F107" s="1179"/>
      <c r="H107" s="646" t="s">
        <v>3250</v>
      </c>
      <c r="I107" s="4388"/>
      <c r="J107" s="4389"/>
      <c r="K107" s="4389"/>
      <c r="L107" s="4390"/>
      <c r="M107" s="878" t="s">
        <v>1163</v>
      </c>
      <c r="N107" s="48" t="s">
        <v>1838</v>
      </c>
      <c r="O107" s="1677"/>
      <c r="P107" s="1678"/>
      <c r="R107" s="782" t="s">
        <v>3927</v>
      </c>
    </row>
    <row r="108" spans="1:18" s="36" customFormat="1" ht="12.75" customHeight="1" thickBot="1">
      <c r="A108" s="35"/>
      <c r="B108" s="924" t="s">
        <v>3157</v>
      </c>
      <c r="C108" s="35"/>
      <c r="D108" s="41"/>
      <c r="E108" s="41"/>
      <c r="F108" s="41"/>
      <c r="G108" s="41"/>
      <c r="H108" s="29"/>
      <c r="I108" s="4391"/>
      <c r="J108" s="4392"/>
      <c r="K108" s="4392"/>
      <c r="L108" s="4393"/>
      <c r="M108" s="39"/>
      <c r="N108" s="47"/>
      <c r="O108" s="3"/>
      <c r="P108" s="24"/>
    </row>
    <row r="109" spans="1:18" s="36" customFormat="1" ht="90" customHeight="1" thickTop="1" thickBot="1">
      <c r="A109" s="4342"/>
      <c r="B109" s="4343"/>
      <c r="C109" s="4343"/>
      <c r="D109" s="4343"/>
      <c r="E109" s="4343"/>
      <c r="F109" s="4343"/>
      <c r="G109" s="4343"/>
      <c r="H109" s="4343"/>
      <c r="I109" s="4343"/>
      <c r="J109" s="4343"/>
      <c r="K109" s="4343"/>
      <c r="L109" s="4343"/>
      <c r="M109" s="4343"/>
      <c r="N109" s="4343"/>
      <c r="O109" s="4343"/>
      <c r="P109" s="4344"/>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4"/>
      <c r="B111" s="4115"/>
      <c r="C111" s="4115"/>
      <c r="D111" s="4115"/>
      <c r="E111" s="4115"/>
      <c r="F111" s="4115"/>
      <c r="G111" s="4115"/>
      <c r="H111" s="4115"/>
      <c r="I111" s="4115"/>
      <c r="J111" s="4115"/>
      <c r="K111" s="4115"/>
      <c r="L111" s="4115"/>
      <c r="M111" s="4115"/>
      <c r="N111" s="4115"/>
      <c r="O111" s="4115"/>
      <c r="P111" s="4116"/>
      <c r="Q111" s="353"/>
      <c r="R111" s="354"/>
    </row>
    <row r="112" spans="1:18" ht="7.5" customHeight="1" thickBot="1">
      <c r="M112" s="26"/>
      <c r="N112" s="39"/>
      <c r="O112" s="119"/>
      <c r="P112" s="119"/>
    </row>
    <row r="113" spans="1:21" s="36" customFormat="1" ht="13.5" customHeight="1" thickBot="1">
      <c r="A113" s="120" t="s">
        <v>495</v>
      </c>
      <c r="B113" s="83" t="s">
        <v>2407</v>
      </c>
      <c r="D113" s="34"/>
      <c r="H113" s="1461" t="s">
        <v>4044</v>
      </c>
      <c r="I113" s="1535" t="s">
        <v>4040</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3238</v>
      </c>
      <c r="D114" s="34"/>
      <c r="H114" s="141"/>
      <c r="L114" s="1840" t="str">
        <f>IF(AND(O113&gt;0,NOT($M$55="New Supply")), "Ineligible to score in this section, not New Supply!","")</f>
        <v/>
      </c>
      <c r="M114" s="119"/>
      <c r="N114" s="48"/>
      <c r="O114" s="779" t="s">
        <v>3066</v>
      </c>
      <c r="P114" s="779" t="s">
        <v>3067</v>
      </c>
      <c r="Q114" s="86"/>
      <c r="R114" s="866"/>
      <c r="S114" s="866"/>
      <c r="T114" s="866"/>
      <c r="U114" s="866"/>
    </row>
    <row r="115" spans="1:21" s="36" customFormat="1" ht="11.25" customHeight="1">
      <c r="A115" s="120"/>
      <c r="B115" s="306" t="s">
        <v>1839</v>
      </c>
      <c r="C115" s="29" t="s">
        <v>3694</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3695</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4046</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4462</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4463</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4466</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3239</v>
      </c>
      <c r="D123" s="34"/>
      <c r="F123" s="4447" t="s">
        <v>3132</v>
      </c>
      <c r="G123" s="4447"/>
      <c r="H123" s="4447"/>
      <c r="I123" s="4447"/>
      <c r="J123" s="4447" t="s">
        <v>3133</v>
      </c>
      <c r="K123" s="4447"/>
      <c r="L123" s="4447"/>
      <c r="M123" s="4447"/>
      <c r="N123" s="48"/>
      <c r="O123" s="4448" t="s">
        <v>3760</v>
      </c>
      <c r="P123" s="4449"/>
      <c r="Q123" s="86"/>
      <c r="R123" s="866"/>
      <c r="S123" s="866"/>
      <c r="T123" s="866"/>
      <c r="U123" s="866"/>
    </row>
    <row r="124" spans="1:21" s="36" customFormat="1" ht="12" customHeight="1">
      <c r="B124" s="1749"/>
      <c r="C124" s="1123" t="s">
        <v>4465</v>
      </c>
      <c r="E124" s="223"/>
      <c r="F124" s="4398"/>
      <c r="G124" s="4399"/>
      <c r="H124" s="4363"/>
      <c r="I124" s="4364"/>
      <c r="J124" s="4398"/>
      <c r="K124" s="4399"/>
      <c r="L124" s="4363"/>
      <c r="M124" s="4364"/>
      <c r="N124" s="48"/>
      <c r="Q124" s="86"/>
      <c r="R124" s="866"/>
      <c r="S124" s="866"/>
      <c r="T124" s="866"/>
      <c r="U124" s="866"/>
    </row>
    <row r="125" spans="1:21" s="36" customFormat="1" ht="12" customHeight="1">
      <c r="A125" s="1749"/>
      <c r="B125" s="1749"/>
      <c r="C125" s="1749"/>
      <c r="D125" s="236"/>
      <c r="E125" s="1748" t="s">
        <v>4047</v>
      </c>
      <c r="F125" s="4565"/>
      <c r="G125" s="4566"/>
      <c r="H125" s="4572"/>
      <c r="I125" s="4573"/>
      <c r="J125" s="4565"/>
      <c r="K125" s="4566"/>
      <c r="L125" s="4572"/>
      <c r="M125" s="4573"/>
      <c r="N125" s="48"/>
      <c r="O125" s="1229"/>
      <c r="P125" s="903"/>
      <c r="Q125" s="86"/>
      <c r="R125" s="866"/>
      <c r="S125" s="866"/>
      <c r="T125" s="866"/>
      <c r="U125" s="866"/>
    </row>
    <row r="126" spans="1:21" s="36" customFormat="1" ht="12" customHeight="1">
      <c r="A126" s="4578" t="s">
        <v>4571</v>
      </c>
      <c r="B126" s="4578"/>
      <c r="C126" s="1123" t="s">
        <v>4464</v>
      </c>
      <c r="E126" s="223"/>
      <c r="F126" s="4567"/>
      <c r="G126" s="4568"/>
      <c r="H126" s="4583"/>
      <c r="I126" s="4584"/>
      <c r="J126" s="4567"/>
      <c r="K126" s="4568"/>
      <c r="L126" s="4583"/>
      <c r="M126" s="4584"/>
      <c r="N126" s="48"/>
      <c r="O126" s="48"/>
      <c r="P126" s="48"/>
      <c r="Q126" s="86"/>
      <c r="R126" s="866"/>
      <c r="S126" s="866"/>
      <c r="T126" s="866"/>
      <c r="U126" s="866"/>
    </row>
    <row r="127" spans="1:21" s="36" customFormat="1" ht="12" customHeight="1">
      <c r="A127" s="4578"/>
      <c r="B127" s="4578"/>
      <c r="C127" s="236"/>
      <c r="D127" s="236"/>
      <c r="E127" s="1748" t="s">
        <v>3278</v>
      </c>
      <c r="F127" s="4444"/>
      <c r="G127" s="4445"/>
      <c r="H127" s="4570"/>
      <c r="I127" s="4571"/>
      <c r="J127" s="4444"/>
      <c r="K127" s="4445"/>
      <c r="L127" s="4570"/>
      <c r="M127" s="4571"/>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4594</v>
      </c>
      <c r="B129" s="83"/>
      <c r="D129" s="34"/>
      <c r="I129" s="4574" t="str">
        <f>IF(AND(O131&gt;0,O138&gt;0),"Pick A or B, not both!","")</f>
        <v/>
      </c>
      <c r="J129" s="4574"/>
      <c r="K129" s="4574" t="str">
        <f>IF(AND(P131&gt;0,P138&gt;0),"Pick A or B, not both!","")</f>
        <v/>
      </c>
      <c r="L129" s="4574"/>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3154</v>
      </c>
      <c r="D131" s="34"/>
      <c r="F131" s="924" t="s">
        <v>4575</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4048</v>
      </c>
      <c r="D132" s="34"/>
      <c r="F132" s="38"/>
      <c r="M132" s="119"/>
      <c r="N132" s="316"/>
      <c r="O132" s="176"/>
      <c r="P132" s="420"/>
      <c r="Q132" s="86"/>
    </row>
    <row r="133" spans="1:21" s="331" customFormat="1" ht="25.5" customHeight="1">
      <c r="B133" s="349" t="s">
        <v>1839</v>
      </c>
      <c r="C133" s="4446" t="s">
        <v>4569</v>
      </c>
      <c r="D133" s="4446"/>
      <c r="E133" s="4446"/>
      <c r="F133" s="4446"/>
      <c r="G133" s="4446"/>
      <c r="H133" s="4446"/>
      <c r="I133" s="4446"/>
      <c r="J133" s="4446"/>
      <c r="K133" s="4446"/>
      <c r="L133" s="4446"/>
      <c r="M133" s="1758">
        <v>6</v>
      </c>
      <c r="N133" s="373" t="s">
        <v>1839</v>
      </c>
      <c r="O133" s="1820"/>
      <c r="P133" s="1821"/>
      <c r="Q133" s="1153"/>
      <c r="R133" s="782" t="s">
        <v>3927</v>
      </c>
    </row>
    <row r="134" spans="1:21" s="331" customFormat="1" ht="12" customHeight="1">
      <c r="A134" s="455" t="s">
        <v>1273</v>
      </c>
      <c r="B134" s="349" t="s">
        <v>1841</v>
      </c>
      <c r="C134" s="3517" t="s">
        <v>4570</v>
      </c>
      <c r="D134" s="3517"/>
      <c r="E134" s="3517"/>
      <c r="F134" s="3517"/>
      <c r="G134" s="853"/>
      <c r="J134" s="4450" t="s">
        <v>4566</v>
      </c>
      <c r="K134" s="4451"/>
      <c r="L134" s="4452"/>
      <c r="M134" s="457">
        <v>5</v>
      </c>
      <c r="N134" s="347" t="s">
        <v>1841</v>
      </c>
      <c r="O134" s="1833"/>
      <c r="P134" s="1834"/>
      <c r="Q134" s="1720" t="s">
        <v>4562</v>
      </c>
      <c r="R134" s="1117" t="s">
        <v>4160</v>
      </c>
      <c r="S134" s="1117" t="s">
        <v>4045</v>
      </c>
    </row>
    <row r="135" spans="1:21" s="331" customFormat="1" ht="12" customHeight="1">
      <c r="B135" s="349"/>
      <c r="C135" s="3517"/>
      <c r="D135" s="3517"/>
      <c r="E135" s="3517"/>
      <c r="F135" s="3517"/>
      <c r="G135" s="853"/>
      <c r="H135" s="3354" t="s">
        <v>4564</v>
      </c>
      <c r="I135" s="3354"/>
      <c r="J135" s="4453"/>
      <c r="K135" s="4454"/>
      <c r="L135" s="4455"/>
      <c r="M135" s="4168" t="str">
        <f>IF(AND(O134&gt;0,O133&gt;0),"Pick A1 or A2!","")</f>
        <v/>
      </c>
      <c r="N135" s="4168"/>
      <c r="O135" s="4168"/>
      <c r="P135" s="4168"/>
      <c r="Q135" s="785"/>
      <c r="R135" s="1464">
        <v>0.25</v>
      </c>
      <c r="S135" s="1464">
        <v>5</v>
      </c>
    </row>
    <row r="136" spans="1:21" s="331" customFormat="1" ht="12" customHeight="1">
      <c r="B136" s="349"/>
      <c r="C136" s="3517"/>
      <c r="D136" s="3517"/>
      <c r="E136" s="3517"/>
      <c r="F136" s="3517"/>
      <c r="G136" s="853"/>
      <c r="H136" s="1679"/>
      <c r="I136" s="1814"/>
      <c r="J136" s="4453"/>
      <c r="K136" s="4454"/>
      <c r="L136" s="4455"/>
      <c r="Q136" s="785"/>
      <c r="R136" s="1464">
        <v>0.5</v>
      </c>
      <c r="S136" s="1464">
        <v>4.5</v>
      </c>
    </row>
    <row r="137" spans="1:21" s="331" customFormat="1" ht="12" customHeight="1">
      <c r="B137" s="349"/>
      <c r="C137" s="3517"/>
      <c r="D137" s="3517"/>
      <c r="E137" s="3517"/>
      <c r="F137" s="3517"/>
      <c r="G137" s="853"/>
      <c r="J137" s="4453"/>
      <c r="K137" s="4454"/>
      <c r="L137" s="4455"/>
      <c r="M137" s="70"/>
      <c r="N137" s="70"/>
      <c r="O137" s="70"/>
      <c r="P137" s="70"/>
      <c r="Q137" s="396"/>
      <c r="R137" s="1465">
        <v>1</v>
      </c>
      <c r="S137" s="1465">
        <v>4</v>
      </c>
    </row>
    <row r="138" spans="1:21" s="331" customFormat="1" ht="12" customHeight="1">
      <c r="A138" s="112" t="s">
        <v>1838</v>
      </c>
      <c r="B138" s="884" t="s">
        <v>3155</v>
      </c>
      <c r="C138" s="502"/>
      <c r="D138" s="502"/>
      <c r="F138" s="1812" t="s">
        <v>4561</v>
      </c>
      <c r="J138" s="4375" t="s">
        <v>3152</v>
      </c>
      <c r="K138" s="4376"/>
      <c r="L138" s="1747" t="s">
        <v>3153</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4563</v>
      </c>
      <c r="R138" s="1815">
        <v>0.25</v>
      </c>
      <c r="S138" s="1815">
        <v>3</v>
      </c>
    </row>
    <row r="139" spans="1:21" s="36" customFormat="1" ht="12" customHeight="1">
      <c r="A139" s="120"/>
      <c r="B139" s="1544" t="s">
        <v>1839</v>
      </c>
      <c r="C139" s="3517" t="s">
        <v>4576</v>
      </c>
      <c r="D139" s="3517"/>
      <c r="E139" s="3517"/>
      <c r="F139" s="3517"/>
      <c r="G139" s="853"/>
      <c r="H139" s="3354" t="s">
        <v>4565</v>
      </c>
      <c r="I139" s="3354"/>
      <c r="J139" s="4377" t="s">
        <v>4581</v>
      </c>
      <c r="K139" s="4378"/>
      <c r="L139" s="4379"/>
      <c r="M139" s="457">
        <v>3</v>
      </c>
      <c r="N139" s="347" t="s">
        <v>1839</v>
      </c>
      <c r="O139" s="4613"/>
      <c r="P139" s="4616"/>
      <c r="Q139" s="785" t="str">
        <f>IF(OR($O141=$M141,$O141=0,$O141=""),"","*CHECK!*")</f>
        <v/>
      </c>
      <c r="R139" s="1464">
        <v>0.5</v>
      </c>
      <c r="S139" s="1464">
        <v>2</v>
      </c>
      <c r="U139" s="331"/>
    </row>
    <row r="140" spans="1:21" s="36" customFormat="1" ht="12" customHeight="1">
      <c r="A140" s="120"/>
      <c r="B140" s="878"/>
      <c r="C140" s="3517"/>
      <c r="D140" s="3517"/>
      <c r="E140" s="3517"/>
      <c r="F140" s="3517"/>
      <c r="G140" s="70"/>
      <c r="H140" s="1679"/>
      <c r="I140" s="1814"/>
      <c r="J140" s="4600" t="s">
        <v>4460</v>
      </c>
      <c r="K140" s="4601"/>
      <c r="L140" s="4602"/>
      <c r="M140" s="70"/>
      <c r="O140" s="4614"/>
      <c r="P140" s="4617"/>
      <c r="Q140" s="86"/>
      <c r="R140" s="1465">
        <v>1</v>
      </c>
      <c r="S140" s="1465">
        <v>1</v>
      </c>
      <c r="U140" s="331"/>
    </row>
    <row r="141" spans="1:21" s="36" customFormat="1" ht="11.25" customHeight="1">
      <c r="A141" s="455" t="s">
        <v>1273</v>
      </c>
      <c r="B141" s="1544" t="s">
        <v>1841</v>
      </c>
      <c r="C141" s="3517" t="s">
        <v>4568</v>
      </c>
      <c r="D141" s="3517"/>
      <c r="E141" s="3517"/>
      <c r="F141" s="3517"/>
      <c r="G141" s="3517"/>
      <c r="H141" s="3517"/>
      <c r="I141" s="1813"/>
      <c r="J141" s="4603"/>
      <c r="K141" s="4604"/>
      <c r="L141" s="4605"/>
      <c r="M141" s="457">
        <v>1</v>
      </c>
      <c r="N141" s="347" t="s">
        <v>1841</v>
      </c>
      <c r="O141" s="4400"/>
      <c r="P141" s="4577"/>
      <c r="U141" s="331"/>
    </row>
    <row r="142" spans="1:21" s="36" customFormat="1" ht="11.25" customHeight="1">
      <c r="B142" s="1816"/>
      <c r="C142" s="3517"/>
      <c r="D142" s="3517"/>
      <c r="E142" s="3517"/>
      <c r="F142" s="3517"/>
      <c r="G142" s="3517"/>
      <c r="H142" s="3517"/>
      <c r="I142" s="1813"/>
      <c r="J142" s="4606"/>
      <c r="K142" s="4607"/>
      <c r="L142" s="4608"/>
      <c r="O142" s="4400"/>
      <c r="P142" s="4577"/>
      <c r="T142" s="331"/>
      <c r="U142" s="331"/>
    </row>
    <row r="143" spans="1:21" s="331" customFormat="1" ht="12" customHeight="1">
      <c r="A143" s="1543" t="s">
        <v>1273</v>
      </c>
      <c r="B143" s="1544" t="s">
        <v>2326</v>
      </c>
      <c r="C143" s="3517" t="s">
        <v>4567</v>
      </c>
      <c r="D143" s="3517"/>
      <c r="E143" s="3517"/>
      <c r="F143" s="3517"/>
      <c r="G143" s="3517"/>
      <c r="H143" s="3517"/>
      <c r="I143" s="4612"/>
      <c r="J143" s="4600" t="s">
        <v>4461</v>
      </c>
      <c r="K143" s="4601"/>
      <c r="L143" s="4602"/>
      <c r="M143" s="1758">
        <v>2</v>
      </c>
      <c r="N143" s="373" t="s">
        <v>2326</v>
      </c>
      <c r="O143" s="4575"/>
      <c r="P143" s="4396"/>
      <c r="Q143" s="785"/>
      <c r="R143" s="782"/>
    </row>
    <row r="144" spans="1:21" s="36" customFormat="1" ht="36.75" customHeight="1">
      <c r="C144" s="3517"/>
      <c r="D144" s="3517"/>
      <c r="E144" s="3517"/>
      <c r="F144" s="3517"/>
      <c r="G144" s="3517"/>
      <c r="H144" s="3517"/>
      <c r="I144" s="4612"/>
      <c r="J144" s="4609"/>
      <c r="K144" s="4610"/>
      <c r="L144" s="4611"/>
      <c r="O144" s="4576"/>
      <c r="P144" s="4397"/>
    </row>
    <row r="145" spans="1:19" s="36" customFormat="1" ht="12.6" customHeight="1">
      <c r="A145" s="29" t="s">
        <v>3279</v>
      </c>
      <c r="B145" s="141"/>
      <c r="E145" s="34"/>
      <c r="K145" s="41"/>
      <c r="M145" s="53"/>
      <c r="N145" s="53"/>
      <c r="O145" s="53"/>
      <c r="P145" s="53"/>
      <c r="Q145" s="307"/>
      <c r="R145" s="307"/>
    </row>
    <row r="146" spans="1:19" s="36" customFormat="1" ht="11.25" customHeight="1" thickBot="1">
      <c r="A146" s="35"/>
      <c r="B146" s="924" t="s">
        <v>3157</v>
      </c>
      <c r="C146" s="35"/>
      <c r="D146" s="41"/>
      <c r="E146" s="41"/>
      <c r="F146" s="41"/>
      <c r="G146" s="41"/>
      <c r="H146" s="29"/>
      <c r="K146" s="41"/>
      <c r="M146" s="39"/>
      <c r="N146" s="47"/>
      <c r="O146" s="3"/>
      <c r="P146" s="24"/>
    </row>
    <row r="147" spans="1:19" s="36" customFormat="1" ht="29.25" customHeight="1" thickTop="1" thickBot="1">
      <c r="A147" s="4342"/>
      <c r="B147" s="4343"/>
      <c r="C147" s="4343"/>
      <c r="D147" s="4343"/>
      <c r="E147" s="4343"/>
      <c r="F147" s="4343"/>
      <c r="G147" s="4343"/>
      <c r="H147" s="4343"/>
      <c r="I147" s="4343"/>
      <c r="J147" s="4343"/>
      <c r="K147" s="4343"/>
      <c r="L147" s="4343"/>
      <c r="M147" s="4343"/>
      <c r="N147" s="4343"/>
      <c r="O147" s="4343"/>
      <c r="P147" s="4344"/>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4"/>
      <c r="B149" s="4115"/>
      <c r="C149" s="4115"/>
      <c r="D149" s="4115"/>
      <c r="E149" s="4115"/>
      <c r="F149" s="4115"/>
      <c r="G149" s="4115"/>
      <c r="H149" s="4115"/>
      <c r="I149" s="4115"/>
      <c r="J149" s="4115"/>
      <c r="K149" s="4115"/>
      <c r="L149" s="4115"/>
      <c r="M149" s="4115"/>
      <c r="N149" s="4115"/>
      <c r="O149" s="4115"/>
      <c r="P149" s="4116"/>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4049</v>
      </c>
      <c r="C152" s="874"/>
      <c r="D152" s="874"/>
      <c r="E152" s="874"/>
      <c r="G152" s="1463" t="s">
        <v>3696</v>
      </c>
      <c r="H152" s="854" t="str">
        <f>'Part VII-Threshold Criteria OLD'!$J$35</f>
        <v>&lt;&lt; Select PROPOSED Tenancy &gt;&gt;</v>
      </c>
      <c r="M152" s="119">
        <v>3</v>
      </c>
      <c r="N152" s="55"/>
      <c r="O152" s="1528"/>
      <c r="P152" s="1529"/>
      <c r="Q152" s="1153" t="str">
        <f>IF(OR($O152&lt;=$M152,$O152=0,$O152=""),"","*CHECK!*")</f>
        <v/>
      </c>
      <c r="R152" s="1531" t="s">
        <v>415</v>
      </c>
      <c r="S152" s="782" t="s">
        <v>3927</v>
      </c>
    </row>
    <row r="153" spans="1:19" ht="18.75" customHeight="1">
      <c r="C153" s="1457" t="s">
        <v>4612</v>
      </c>
      <c r="F153" s="1457"/>
      <c r="G153" s="1457"/>
      <c r="H153" s="1457"/>
      <c r="I153" s="1564"/>
      <c r="J153" s="1565"/>
      <c r="K153" s="1566"/>
      <c r="M153" s="36"/>
      <c r="N153"/>
      <c r="O153"/>
      <c r="P153" s="1873"/>
    </row>
    <row r="154" spans="1:19" ht="11.25" customHeight="1">
      <c r="C154" s="1457" t="s">
        <v>4611</v>
      </c>
      <c r="F154" s="1457"/>
      <c r="G154" s="1457"/>
      <c r="H154" s="1457"/>
      <c r="I154" s="1564"/>
      <c r="J154" s="4597" t="s">
        <v>4718</v>
      </c>
      <c r="K154" s="4598"/>
      <c r="L154" s="4598"/>
      <c r="M154" s="4599"/>
      <c r="N154"/>
      <c r="O154"/>
      <c r="P154"/>
    </row>
    <row r="155" spans="1:19" ht="12.75" customHeight="1">
      <c r="B155" s="429"/>
      <c r="C155" s="429"/>
      <c r="D155" s="429"/>
      <c r="F155" s="4111" t="s">
        <v>4522</v>
      </c>
      <c r="G155" s="4111"/>
      <c r="H155" s="4111" t="s">
        <v>4166</v>
      </c>
      <c r="I155" s="4111"/>
      <c r="J155" s="4585" t="s">
        <v>4523</v>
      </c>
      <c r="K155" s="4586"/>
      <c r="L155" s="4588" t="s">
        <v>4717</v>
      </c>
      <c r="M155" s="4589"/>
      <c r="N155" s="44"/>
      <c r="O155" s="1776"/>
      <c r="P155" s="1777"/>
    </row>
    <row r="156" spans="1:19" ht="30.75" customHeight="1">
      <c r="B156" s="429"/>
      <c r="C156" s="429"/>
      <c r="D156" s="429"/>
      <c r="F156" s="4111"/>
      <c r="G156" s="4111"/>
      <c r="H156" s="4111"/>
      <c r="I156" s="4111"/>
      <c r="J156" s="4587"/>
      <c r="K156" s="4586"/>
      <c r="L156" s="4111"/>
      <c r="M156" s="4590"/>
      <c r="N156" s="44"/>
      <c r="O156" s="1778"/>
      <c r="P156" s="1777"/>
    </row>
    <row r="157" spans="1:19" ht="12" customHeight="1">
      <c r="B157" s="81" t="s">
        <v>4524</v>
      </c>
      <c r="C157" s="876"/>
      <c r="D157" s="36"/>
      <c r="F157" s="4233"/>
      <c r="G157" s="4233"/>
      <c r="H157" s="4233"/>
      <c r="I157" s="4233"/>
      <c r="J157" s="4587"/>
      <c r="K157" s="4586"/>
      <c r="L157" s="4233"/>
      <c r="M157" s="4591"/>
      <c r="N157" s="44"/>
      <c r="O157" s="1778"/>
      <c r="P157" s="1777"/>
    </row>
    <row r="158" spans="1:19">
      <c r="B158" s="4592"/>
      <c r="C158" s="4593"/>
      <c r="D158" s="4593"/>
      <c r="E158" s="4594"/>
      <c r="F158" s="4592"/>
      <c r="G158" s="4594"/>
      <c r="H158" s="4592"/>
      <c r="I158" s="4594"/>
      <c r="J158" s="4595"/>
      <c r="K158" s="4596"/>
      <c r="L158" s="4595"/>
      <c r="M158" s="4596"/>
      <c r="N158" s="4634"/>
      <c r="O158" s="4635"/>
    </row>
    <row r="159" spans="1:19">
      <c r="B159" s="4425"/>
      <c r="C159" s="4426"/>
      <c r="D159" s="4426"/>
      <c r="E159" s="4427"/>
      <c r="F159" s="4425"/>
      <c r="G159" s="4427"/>
      <c r="H159" s="4425"/>
      <c r="I159" s="4427"/>
      <c r="J159" s="4579"/>
      <c r="K159" s="4580"/>
      <c r="L159" s="4579"/>
      <c r="M159" s="4580"/>
      <c r="N159" s="4456"/>
      <c r="O159" s="4457"/>
    </row>
    <row r="160" spans="1:19">
      <c r="B160" s="4425"/>
      <c r="C160" s="4426"/>
      <c r="D160" s="4426"/>
      <c r="E160" s="4427"/>
      <c r="F160" s="4425"/>
      <c r="G160" s="4427"/>
      <c r="H160" s="4425"/>
      <c r="I160" s="4427"/>
      <c r="J160" s="4579"/>
      <c r="K160" s="4580"/>
      <c r="L160" s="4579"/>
      <c r="M160" s="4580"/>
      <c r="N160" s="4456"/>
      <c r="O160" s="4457"/>
    </row>
    <row r="161" spans="1:26">
      <c r="B161" s="4425"/>
      <c r="C161" s="4426"/>
      <c r="D161" s="4426"/>
      <c r="E161" s="4427"/>
      <c r="F161" s="4425"/>
      <c r="G161" s="4427"/>
      <c r="H161" s="4425"/>
      <c r="I161" s="4427"/>
      <c r="J161" s="4579"/>
      <c r="K161" s="4580"/>
      <c r="L161" s="4579"/>
      <c r="M161" s="4580"/>
      <c r="N161" s="4456"/>
      <c r="O161" s="4457"/>
    </row>
    <row r="162" spans="1:26">
      <c r="B162" s="4425"/>
      <c r="C162" s="4426"/>
      <c r="D162" s="4426"/>
      <c r="E162" s="4427"/>
      <c r="F162" s="4425"/>
      <c r="G162" s="4427"/>
      <c r="H162" s="4425"/>
      <c r="I162" s="4427"/>
      <c r="J162" s="4579"/>
      <c r="K162" s="4580"/>
      <c r="L162" s="4579"/>
      <c r="M162" s="4580"/>
      <c r="N162" s="4456"/>
      <c r="O162" s="4457"/>
    </row>
    <row r="163" spans="1:26">
      <c r="B163" s="4627"/>
      <c r="C163" s="4628"/>
      <c r="D163" s="4628"/>
      <c r="E163" s="4629"/>
      <c r="F163" s="4627"/>
      <c r="G163" s="4629"/>
      <c r="H163" s="4627"/>
      <c r="I163" s="4629"/>
      <c r="J163" s="4630"/>
      <c r="K163" s="4631"/>
      <c r="L163" s="4630"/>
      <c r="M163" s="4631"/>
      <c r="N163" s="4632"/>
      <c r="O163" s="4633"/>
    </row>
    <row r="164" spans="1:26" s="36" customFormat="1" ht="10.5" customHeight="1" thickBot="1">
      <c r="A164" s="35"/>
      <c r="B164" s="924" t="s">
        <v>3157</v>
      </c>
      <c r="C164" s="35"/>
      <c r="D164" s="41"/>
      <c r="E164" s="41"/>
      <c r="F164" s="41"/>
      <c r="G164" s="41"/>
      <c r="H164" s="29"/>
      <c r="I164" s="29"/>
      <c r="J164" s="29"/>
      <c r="K164" s="29"/>
      <c r="M164" s="39"/>
      <c r="N164" s="47"/>
      <c r="O164" s="3"/>
      <c r="P164" s="24"/>
    </row>
    <row r="165" spans="1:26" s="36" customFormat="1" ht="21.75" customHeight="1" thickTop="1" thickBot="1">
      <c r="A165" s="4342"/>
      <c r="B165" s="4343"/>
      <c r="C165" s="4343"/>
      <c r="D165" s="4343"/>
      <c r="E165" s="4343"/>
      <c r="F165" s="4343"/>
      <c r="G165" s="4343"/>
      <c r="H165" s="4343"/>
      <c r="I165" s="4343"/>
      <c r="J165" s="4343"/>
      <c r="K165" s="4343"/>
      <c r="L165" s="4343"/>
      <c r="M165" s="4343"/>
      <c r="N165" s="4343"/>
      <c r="O165" s="4343"/>
      <c r="P165" s="4344"/>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2"/>
      <c r="B167" s="4143"/>
      <c r="C167" s="4143"/>
      <c r="D167" s="4143"/>
      <c r="E167" s="4143"/>
      <c r="F167" s="4143"/>
      <c r="G167" s="4143"/>
      <c r="H167" s="4143"/>
      <c r="I167" s="4143"/>
      <c r="J167" s="4143"/>
      <c r="K167" s="4143"/>
      <c r="L167" s="4143"/>
      <c r="M167" s="4143"/>
      <c r="N167" s="4143"/>
      <c r="O167" s="4143"/>
      <c r="P167" s="4144"/>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3252</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4073</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4165</v>
      </c>
      <c r="D172" s="141"/>
      <c r="E172" s="141"/>
      <c r="F172" s="141"/>
      <c r="G172" s="141"/>
      <c r="H172" s="141"/>
      <c r="I172" s="141"/>
      <c r="J172" s="141"/>
      <c r="K172" s="141"/>
      <c r="L172" s="141"/>
      <c r="M172" s="457">
        <v>2</v>
      </c>
      <c r="N172" s="128" t="s">
        <v>1611</v>
      </c>
      <c r="O172" s="1501"/>
      <c r="P172" s="1551"/>
      <c r="Q172" s="1153" t="str">
        <f>IF(OR($O172=$M172,$O172=0,$O172=""),"","*CHECK!*")</f>
        <v/>
      </c>
      <c r="R172" s="782" t="s">
        <v>3927</v>
      </c>
      <c r="S172" s="1540"/>
      <c r="T172" s="1540"/>
      <c r="U172" s="1540"/>
    </row>
    <row r="173" spans="1:26" s="317" customFormat="1" ht="12" customHeight="1">
      <c r="B173" s="128" t="s">
        <v>2234</v>
      </c>
      <c r="C173" s="4103" t="s">
        <v>4572</v>
      </c>
      <c r="D173" s="4103"/>
      <c r="E173" s="4103"/>
      <c r="F173" s="4103"/>
      <c r="G173" s="4103"/>
      <c r="H173" s="4103"/>
      <c r="I173" s="4103"/>
      <c r="J173" s="4103"/>
      <c r="K173" s="4103"/>
      <c r="L173" s="128"/>
      <c r="M173" s="4569" t="s">
        <v>3991</v>
      </c>
      <c r="N173" s="4569"/>
      <c r="O173" s="4569"/>
      <c r="P173" s="4569"/>
      <c r="S173" s="1540"/>
      <c r="T173" s="1540"/>
      <c r="U173" s="1540"/>
      <c r="V173" s="333"/>
      <c r="W173" s="333"/>
      <c r="X173" s="333"/>
      <c r="Y173" s="333"/>
      <c r="Z173" s="333"/>
    </row>
    <row r="174" spans="1:26" s="36" customFormat="1" ht="12.75" customHeight="1">
      <c r="A174" s="305"/>
      <c r="B174" s="49"/>
      <c r="C174" s="4103"/>
      <c r="D174" s="4103"/>
      <c r="E174" s="4103"/>
      <c r="F174" s="4103"/>
      <c r="G174" s="4103"/>
      <c r="H174" s="4103"/>
      <c r="I174" s="4103"/>
      <c r="J174" s="4103"/>
      <c r="K174" s="4103"/>
      <c r="L174" s="128" t="s">
        <v>2234</v>
      </c>
      <c r="M174" s="4561" t="s">
        <v>3203</v>
      </c>
      <c r="N174" s="4562"/>
      <c r="O174" s="4562"/>
      <c r="P174" s="4563"/>
      <c r="S174" s="1540"/>
      <c r="T174" s="1540"/>
      <c r="U174" s="1540"/>
    </row>
    <row r="175" spans="1:26" s="26" customFormat="1" ht="12.75" customHeight="1">
      <c r="B175" s="49" t="s">
        <v>2235</v>
      </c>
      <c r="C175" s="29" t="s">
        <v>3831</v>
      </c>
      <c r="D175" s="29"/>
      <c r="E175" s="29"/>
      <c r="F175" s="29"/>
      <c r="G175" s="29"/>
      <c r="H175" s="29"/>
      <c r="L175" s="49" t="s">
        <v>2235</v>
      </c>
      <c r="M175" s="4377" t="s">
        <v>3203</v>
      </c>
      <c r="N175" s="4378"/>
      <c r="O175" s="4378"/>
      <c r="P175" s="4379"/>
      <c r="S175" s="1540"/>
      <c r="T175" s="1540"/>
      <c r="U175" s="1540"/>
      <c r="V175" s="72"/>
      <c r="W175" s="72"/>
      <c r="X175" s="72"/>
      <c r="Y175" s="72"/>
      <c r="Z175" s="72"/>
    </row>
    <row r="176" spans="1:26" s="26" customFormat="1" ht="12.75" customHeight="1">
      <c r="B176" s="49" t="s">
        <v>2236</v>
      </c>
      <c r="C176" s="29" t="s">
        <v>4071</v>
      </c>
      <c r="D176" s="29"/>
      <c r="E176" s="29"/>
      <c r="F176" s="29"/>
      <c r="G176" s="29"/>
      <c r="H176" s="29"/>
      <c r="L176" s="49" t="s">
        <v>2236</v>
      </c>
      <c r="M176" s="4377" t="s">
        <v>3203</v>
      </c>
      <c r="N176" s="4378"/>
      <c r="O176" s="4378"/>
      <c r="P176" s="4379"/>
      <c r="Q176" s="1257">
        <f>IF(K176="Yes",1,0)</f>
        <v>0</v>
      </c>
      <c r="S176" s="1540"/>
      <c r="T176" s="1540"/>
      <c r="U176" s="1540"/>
      <c r="V176" s="1257" t="e">
        <f>IF(#REF!="Yes",1,0)</f>
        <v>#REF!</v>
      </c>
      <c r="W176" s="72"/>
      <c r="X176" s="72"/>
      <c r="Y176" s="72"/>
      <c r="Z176" s="72"/>
    </row>
    <row r="177" spans="1:26" s="26" customFormat="1" ht="12.75" customHeight="1">
      <c r="A177" s="48"/>
      <c r="B177" s="49" t="s">
        <v>2237</v>
      </c>
      <c r="C177" s="29" t="s">
        <v>4072</v>
      </c>
      <c r="D177" s="29"/>
      <c r="E177" s="29"/>
      <c r="F177" s="29"/>
      <c r="G177" s="29"/>
      <c r="L177" s="49" t="s">
        <v>2237</v>
      </c>
      <c r="M177" s="4516" t="s">
        <v>3203</v>
      </c>
      <c r="N177" s="4517"/>
      <c r="O177" s="4517"/>
      <c r="P177" s="451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4148</v>
      </c>
      <c r="D179" s="108"/>
      <c r="E179" s="108"/>
      <c r="F179" s="108"/>
      <c r="G179" s="108"/>
      <c r="H179" s="108"/>
      <c r="I179" s="108"/>
      <c r="K179" s="922"/>
      <c r="L179" s="922"/>
      <c r="R179" s="1540"/>
      <c r="S179" s="1540"/>
      <c r="T179" s="1540"/>
      <c r="U179" s="1540"/>
    </row>
    <row r="180" spans="1:26">
      <c r="A180" s="395"/>
      <c r="B180" s="128" t="s">
        <v>2234</v>
      </c>
      <c r="C180" s="4103" t="s">
        <v>4075</v>
      </c>
      <c r="D180" s="4103"/>
      <c r="E180" s="4103"/>
      <c r="F180" s="4103"/>
      <c r="G180" s="4103"/>
      <c r="H180" s="4103"/>
      <c r="I180" s="4103"/>
      <c r="J180" s="4103"/>
      <c r="K180" s="4103"/>
      <c r="L180" s="4103"/>
      <c r="M180" s="1758">
        <v>1</v>
      </c>
      <c r="N180" s="128" t="s">
        <v>3945</v>
      </c>
      <c r="O180" s="1548"/>
      <c r="P180" s="1552"/>
      <c r="Q180" s="1153" t="str">
        <f>IF(OR($O180=$M180,$O180=0,$O180=""),"","*CHECK!*")</f>
        <v/>
      </c>
      <c r="R180" s="782" t="s">
        <v>3927</v>
      </c>
    </row>
    <row r="181" spans="1:26" ht="36.75" customHeight="1">
      <c r="A181" s="395"/>
      <c r="B181" s="117" t="s">
        <v>2235</v>
      </c>
      <c r="C181" s="4103" t="s">
        <v>4076</v>
      </c>
      <c r="D181" s="4103"/>
      <c r="E181" s="4103"/>
      <c r="F181" s="4103"/>
      <c r="G181" s="4103"/>
      <c r="H181" s="4103"/>
      <c r="I181" s="4103"/>
      <c r="J181" s="4103"/>
      <c r="K181" s="4103"/>
      <c r="L181" s="4103"/>
      <c r="M181" s="1758">
        <v>1</v>
      </c>
      <c r="N181" s="128" t="s">
        <v>4157</v>
      </c>
      <c r="O181" s="1569"/>
      <c r="P181" s="1570"/>
      <c r="Q181" s="1153" t="str">
        <f>IF(OR($O181=$M181,$O181=0,$O181=""),"","*CHECK!*")</f>
        <v/>
      </c>
      <c r="R181" s="782" t="s">
        <v>3927</v>
      </c>
    </row>
    <row r="182" spans="1:26" ht="12" customHeight="1">
      <c r="A182" s="395"/>
      <c r="B182" s="1519" t="s">
        <v>2236</v>
      </c>
      <c r="C182" s="44" t="s">
        <v>4159</v>
      </c>
      <c r="D182" s="100"/>
      <c r="E182" s="100"/>
      <c r="F182" s="100"/>
      <c r="G182" s="100"/>
      <c r="H182" s="100"/>
      <c r="I182" s="100"/>
      <c r="J182" s="100"/>
      <c r="K182" s="100"/>
      <c r="L182" s="100"/>
      <c r="M182" s="457">
        <v>1</v>
      </c>
      <c r="N182" s="48" t="s">
        <v>4158</v>
      </c>
      <c r="O182" s="1549"/>
      <c r="P182" s="1553"/>
      <c r="Q182" s="1153" t="str">
        <f>IF(OR($O182=$M182,$O182=0,$O182=""),"","*CHECK!*")</f>
        <v/>
      </c>
      <c r="R182" s="782" t="s">
        <v>3927</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3697</v>
      </c>
      <c r="D184" s="26"/>
      <c r="F184" s="1130"/>
      <c r="K184" s="902"/>
      <c r="L184" s="307" t="str">
        <f>IF(OR($O184=$M184,$O184=0,$O184=1,$O184=""),"","* * Check Score! * *")</f>
        <v/>
      </c>
      <c r="M184" s="457">
        <v>2</v>
      </c>
      <c r="N184" s="48" t="s">
        <v>1838</v>
      </c>
      <c r="O184" s="458"/>
      <c r="P184" s="652"/>
      <c r="Q184" s="785" t="str">
        <f>IF(OR($O184=$M184,$O184=0,$O184=""),"","*CHECK!*")</f>
        <v/>
      </c>
      <c r="R184" s="782" t="s">
        <v>3927</v>
      </c>
    </row>
    <row r="185" spans="1:26" s="70" customFormat="1" ht="10.5" customHeight="1" thickBot="1">
      <c r="A185" s="35"/>
      <c r="B185" s="924" t="s">
        <v>3157</v>
      </c>
      <c r="C185" s="35"/>
      <c r="D185" s="41"/>
      <c r="E185" s="41"/>
      <c r="F185" s="41"/>
      <c r="G185" s="41"/>
      <c r="H185" s="29"/>
      <c r="I185" s="29"/>
      <c r="J185" s="29"/>
      <c r="K185" s="29"/>
      <c r="M185" s="39"/>
      <c r="N185" s="5"/>
      <c r="O185" s="3"/>
      <c r="P185" s="119"/>
    </row>
    <row r="186" spans="1:26" s="36" customFormat="1" ht="21.75" customHeight="1" thickTop="1" thickBot="1">
      <c r="A186" s="4342"/>
      <c r="B186" s="4343"/>
      <c r="C186" s="4343"/>
      <c r="D186" s="4343"/>
      <c r="E186" s="4343"/>
      <c r="F186" s="4343"/>
      <c r="G186" s="4343"/>
      <c r="H186" s="4343"/>
      <c r="I186" s="4343"/>
      <c r="J186" s="4343"/>
      <c r="K186" s="4343"/>
      <c r="L186" s="4343"/>
      <c r="M186" s="4343"/>
      <c r="N186" s="4343"/>
      <c r="O186" s="4343"/>
      <c r="P186" s="4344"/>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2"/>
      <c r="B188" s="4143"/>
      <c r="C188" s="4143"/>
      <c r="D188" s="4143"/>
      <c r="E188" s="4143"/>
      <c r="F188" s="4143"/>
      <c r="G188" s="4143"/>
      <c r="H188" s="4143"/>
      <c r="I188" s="4143"/>
      <c r="J188" s="4143"/>
      <c r="K188" s="4143"/>
      <c r="L188" s="4143"/>
      <c r="M188" s="4143"/>
      <c r="N188" s="4143"/>
      <c r="O188" s="4143"/>
      <c r="P188" s="4144"/>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3253</v>
      </c>
      <c r="C190" s="874"/>
      <c r="D190" s="874"/>
      <c r="E190" s="874"/>
      <c r="F190" s="874"/>
      <c r="G190" s="874"/>
      <c r="H190" s="874"/>
      <c r="I190" s="874"/>
      <c r="J190" s="874"/>
      <c r="K190" s="874"/>
      <c r="L190" s="874"/>
      <c r="M190" s="119">
        <v>3</v>
      </c>
      <c r="N190" s="55"/>
      <c r="O190" s="52"/>
      <c r="P190" s="870"/>
      <c r="Q190" s="86" t="s">
        <v>415</v>
      </c>
      <c r="R190" s="782" t="s">
        <v>2453</v>
      </c>
    </row>
    <row r="191" spans="1:26" s="36" customFormat="1" ht="13.5" customHeight="1">
      <c r="A191" s="120"/>
      <c r="B191" s="81" t="s">
        <v>3554</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4149</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4107</v>
      </c>
      <c r="D193" s="26"/>
      <c r="G193" s="369"/>
      <c r="N193"/>
      <c r="O193" s="31"/>
      <c r="P193" s="31"/>
      <c r="Q193" s="241"/>
    </row>
    <row r="194" spans="1:24" s="1260" customFormat="1" ht="12.75" customHeight="1">
      <c r="B194" s="349" t="s">
        <v>1839</v>
      </c>
      <c r="C194" s="4103" t="s">
        <v>4104</v>
      </c>
      <c r="D194" s="4103"/>
      <c r="E194" s="4103"/>
      <c r="F194" s="4103"/>
      <c r="G194" s="4103"/>
      <c r="H194" s="4103"/>
      <c r="I194" s="4103"/>
      <c r="J194" s="4103"/>
      <c r="K194" s="4103"/>
      <c r="L194" s="4103"/>
      <c r="M194" s="871" t="s">
        <v>697</v>
      </c>
      <c r="N194" s="316" t="s">
        <v>1839</v>
      </c>
      <c r="O194" s="881"/>
      <c r="P194" s="880"/>
      <c r="Q194" s="934"/>
      <c r="V194" s="1511"/>
      <c r="W194" s="1511"/>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3" t="s">
        <v>4108</v>
      </c>
      <c r="D196" s="4103"/>
      <c r="E196" s="4103"/>
      <c r="F196" s="4103"/>
      <c r="G196" s="4103"/>
      <c r="H196" s="4103"/>
      <c r="I196" s="4103"/>
      <c r="J196" s="4103"/>
      <c r="K196" s="4103"/>
      <c r="L196" s="4103"/>
      <c r="M196" s="456"/>
      <c r="N196" s="316" t="s">
        <v>2326</v>
      </c>
      <c r="O196" s="883"/>
      <c r="P196" s="882"/>
      <c r="Q196" s="787"/>
      <c r="V196" s="929"/>
      <c r="W196" s="929"/>
    </row>
    <row r="197" spans="1:24" ht="11.65" customHeight="1">
      <c r="A197" s="107" t="s">
        <v>1957</v>
      </c>
      <c r="B197" s="141" t="s">
        <v>4106</v>
      </c>
      <c r="D197" s="26"/>
      <c r="G197" s="369"/>
      <c r="N197"/>
      <c r="O197" s="31"/>
      <c r="P197" s="31"/>
      <c r="Q197" s="241"/>
    </row>
    <row r="198" spans="1:24" s="1260" customFormat="1" ht="23.25" customHeight="1">
      <c r="B198" s="349" t="s">
        <v>1839</v>
      </c>
      <c r="C198" s="4103" t="s">
        <v>4109</v>
      </c>
      <c r="D198" s="4103"/>
      <c r="E198" s="4103"/>
      <c r="F198" s="4103"/>
      <c r="G198" s="4103"/>
      <c r="H198" s="4103"/>
      <c r="I198" s="4103"/>
      <c r="J198" s="4103"/>
      <c r="K198" s="4103"/>
      <c r="L198" s="4103"/>
      <c r="M198" s="871" t="s">
        <v>1957</v>
      </c>
      <c r="N198" s="316" t="s">
        <v>1839</v>
      </c>
      <c r="O198" s="881"/>
      <c r="P198" s="880"/>
      <c r="Q198" s="934"/>
      <c r="V198" s="1511"/>
      <c r="W198" s="1511"/>
    </row>
    <row r="199" spans="1:24" s="26" customFormat="1" ht="23.25" customHeight="1">
      <c r="A199" s="395"/>
      <c r="B199" s="349" t="s">
        <v>1841</v>
      </c>
      <c r="C199" s="4103" t="s">
        <v>4150</v>
      </c>
      <c r="D199" s="4103"/>
      <c r="E199" s="4103"/>
      <c r="F199" s="4103"/>
      <c r="G199" s="4103"/>
      <c r="H199" s="4103"/>
      <c r="I199" s="4103"/>
      <c r="J199" s="4103"/>
      <c r="K199" s="4103"/>
      <c r="L199" s="4103"/>
      <c r="M199" s="103"/>
      <c r="N199" s="316" t="s">
        <v>1841</v>
      </c>
      <c r="O199" s="883"/>
      <c r="P199" s="882"/>
      <c r="Q199" s="787"/>
      <c r="V199" s="929"/>
      <c r="W199" s="929"/>
    </row>
    <row r="200" spans="1:24" s="36" customFormat="1" ht="12" customHeight="1" thickBot="1">
      <c r="A200" s="35"/>
      <c r="B200" s="924" t="s">
        <v>3157</v>
      </c>
      <c r="C200" s="35"/>
      <c r="D200" s="41"/>
      <c r="E200" s="41"/>
      <c r="F200" s="41"/>
      <c r="G200" s="41"/>
      <c r="H200" s="29"/>
      <c r="I200" s="29"/>
      <c r="M200" s="39"/>
      <c r="N200" s="47"/>
      <c r="O200" s="3"/>
      <c r="P200" s="24"/>
    </row>
    <row r="201" spans="1:24" s="36" customFormat="1" ht="45.6" customHeight="1" thickTop="1" thickBot="1">
      <c r="A201" s="4495"/>
      <c r="B201" s="4496"/>
      <c r="C201" s="4496"/>
      <c r="D201" s="4496"/>
      <c r="E201" s="4496"/>
      <c r="F201" s="4496"/>
      <c r="G201" s="4496"/>
      <c r="H201" s="4496"/>
      <c r="I201" s="4496"/>
      <c r="J201" s="4496"/>
      <c r="K201" s="4496"/>
      <c r="L201" s="4496"/>
      <c r="M201" s="4496"/>
      <c r="N201" s="4496"/>
      <c r="O201" s="4496"/>
      <c r="P201" s="4497"/>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01"/>
      <c r="B203" s="4402"/>
      <c r="C203" s="4402"/>
      <c r="D203" s="4402"/>
      <c r="E203" s="4402"/>
      <c r="F203" s="4402"/>
      <c r="G203" s="4402"/>
      <c r="H203" s="4402"/>
      <c r="I203" s="4402"/>
      <c r="J203" s="4402"/>
      <c r="K203" s="4402"/>
      <c r="L203" s="4402"/>
      <c r="M203" s="4402"/>
      <c r="N203" s="4402"/>
      <c r="O203" s="4402"/>
      <c r="P203" s="4403"/>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3698</v>
      </c>
      <c r="D207" s="38"/>
      <c r="E207" s="38"/>
      <c r="K207" s="1258"/>
      <c r="M207" s="457">
        <v>5</v>
      </c>
      <c r="N207" s="48" t="s">
        <v>1836</v>
      </c>
      <c r="O207" s="458"/>
      <c r="P207" s="652"/>
      <c r="Q207" s="1153" t="str">
        <f>IF(O207&lt;=M207,"","*CHECK!*")</f>
        <v/>
      </c>
      <c r="R207" s="782" t="s">
        <v>3927</v>
      </c>
      <c r="S207" s="1542"/>
      <c r="T207" s="1542"/>
      <c r="U207" s="1542"/>
    </row>
    <row r="208" spans="1:24" ht="12.75" customHeight="1">
      <c r="B208" s="1512"/>
      <c r="C208" s="29" t="s">
        <v>4151</v>
      </c>
      <c r="D208" s="70"/>
      <c r="E208" s="38"/>
      <c r="F208" s="38"/>
      <c r="G208" s="70"/>
      <c r="H208" s="70"/>
      <c r="I208" s="70"/>
      <c r="J208" s="4540" t="s">
        <v>3121</v>
      </c>
      <c r="K208" s="4541"/>
      <c r="L208" s="4542"/>
      <c r="M208" s="4543"/>
      <c r="N208" s="53"/>
      <c r="R208" s="86"/>
      <c r="S208" s="70"/>
    </row>
    <row r="209" spans="1:27" ht="12.75" customHeight="1">
      <c r="C209" s="673" t="s">
        <v>4152</v>
      </c>
      <c r="D209" s="44"/>
      <c r="J209" s="4513"/>
      <c r="K209" s="4514"/>
      <c r="L209" s="4514"/>
      <c r="M209" s="4515"/>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4110</v>
      </c>
      <c r="C211" s="29"/>
      <c r="K211" s="48"/>
      <c r="L211" s="48"/>
      <c r="M211" s="457">
        <v>5</v>
      </c>
      <c r="N211" s="48" t="s">
        <v>1838</v>
      </c>
      <c r="O211" s="458"/>
      <c r="P211" s="652"/>
      <c r="Q211" s="1153" t="str">
        <f>IF(O211&lt;=M211,"","*CHECK!*")</f>
        <v/>
      </c>
      <c r="R211" s="782" t="s">
        <v>3927</v>
      </c>
      <c r="S211" s="1542"/>
      <c r="T211" s="1542"/>
      <c r="U211" s="1542"/>
    </row>
    <row r="212" spans="1:27">
      <c r="C212" s="1550" t="s">
        <v>4116</v>
      </c>
      <c r="E212" s="4345" t="s">
        <v>4115</v>
      </c>
      <c r="F212" s="4345"/>
      <c r="G212" s="4345"/>
      <c r="H212" s="4345"/>
      <c r="I212" s="1144" t="s">
        <v>4142</v>
      </c>
      <c r="J212" s="4345" t="s">
        <v>4115</v>
      </c>
      <c r="K212" s="4345"/>
      <c r="L212" s="4345"/>
      <c r="M212" s="4345"/>
      <c r="N212"/>
      <c r="O212"/>
      <c r="P212"/>
    </row>
    <row r="213" spans="1:27" ht="13.5" customHeight="1">
      <c r="B213" s="399"/>
      <c r="C213" s="29" t="s">
        <v>4113</v>
      </c>
      <c r="E213" s="4346"/>
      <c r="F213" s="4347"/>
      <c r="G213" s="4347"/>
      <c r="H213" s="4348"/>
      <c r="I213" s="1779" t="s">
        <v>905</v>
      </c>
      <c r="J213" s="4510"/>
      <c r="K213" s="4511"/>
      <c r="L213" s="4511"/>
      <c r="M213" s="4512"/>
      <c r="N213"/>
      <c r="Q213" s="24"/>
      <c r="R213" s="24"/>
      <c r="S213" s="24"/>
      <c r="T213" s="24"/>
      <c r="U213" s="24"/>
      <c r="V213" s="24"/>
      <c r="W213" s="24"/>
      <c r="X213" s="24"/>
      <c r="Y213" s="24"/>
      <c r="Z213" s="24"/>
      <c r="AA213" s="1780"/>
    </row>
    <row r="214" spans="1:27" ht="13.5" customHeight="1">
      <c r="C214" s="29" t="s">
        <v>4114</v>
      </c>
      <c r="E214" s="4458"/>
      <c r="F214" s="4459"/>
      <c r="G214" s="4459"/>
      <c r="H214" s="4460"/>
      <c r="I214" s="1818"/>
      <c r="J214" s="4339"/>
      <c r="K214" s="4340"/>
      <c r="L214" s="4340"/>
      <c r="M214" s="4341"/>
      <c r="N214" s="1153" t="str">
        <f>IF(P211&lt;=N211,"","*CHECK!*")</f>
        <v/>
      </c>
      <c r="Q214" s="24"/>
      <c r="R214" s="24"/>
      <c r="S214" s="24"/>
      <c r="T214" s="24"/>
      <c r="U214" s="24"/>
      <c r="V214" s="24"/>
      <c r="W214" s="24"/>
      <c r="X214" s="24"/>
      <c r="Y214" s="24"/>
      <c r="Z214" s="24"/>
      <c r="AA214" s="1780"/>
    </row>
    <row r="215" spans="1:27" ht="13.5" customHeight="1">
      <c r="B215" s="399"/>
      <c r="C215" s="29" t="s">
        <v>4111</v>
      </c>
      <c r="E215" s="4458"/>
      <c r="F215" s="4459"/>
      <c r="G215" s="4459"/>
      <c r="H215" s="4460"/>
      <c r="I215" s="1818"/>
      <c r="J215" s="4339"/>
      <c r="K215" s="4340"/>
      <c r="L215" s="4340"/>
      <c r="M215" s="4341"/>
      <c r="N215"/>
      <c r="Q215" s="24"/>
      <c r="R215" s="24"/>
      <c r="S215" s="24"/>
      <c r="T215" s="24"/>
      <c r="U215" s="24"/>
      <c r="V215" s="24"/>
      <c r="W215" s="24"/>
      <c r="X215" s="24"/>
      <c r="Y215" s="24"/>
      <c r="Z215" s="24"/>
      <c r="AA215" s="1780"/>
    </row>
    <row r="216" spans="1:27" ht="13.5" customHeight="1">
      <c r="B216" s="44"/>
      <c r="C216" s="29" t="s">
        <v>4112</v>
      </c>
      <c r="E216" s="4501"/>
      <c r="F216" s="4502"/>
      <c r="G216" s="4502"/>
      <c r="H216" s="4503"/>
      <c r="I216" s="1819"/>
      <c r="J216" s="4507"/>
      <c r="K216" s="4508"/>
      <c r="L216" s="4508"/>
      <c r="M216" s="4509"/>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3157</v>
      </c>
      <c r="C219" s="35"/>
      <c r="D219" s="41"/>
      <c r="E219" s="41"/>
      <c r="F219" s="41"/>
      <c r="G219" s="41"/>
      <c r="H219" s="29"/>
      <c r="I219" s="29"/>
      <c r="J219" s="29"/>
      <c r="K219" s="29"/>
      <c r="M219" s="39"/>
      <c r="N219" s="47"/>
      <c r="O219" s="3"/>
      <c r="P219" s="24"/>
    </row>
    <row r="220" spans="1:27" s="36" customFormat="1" ht="34.9" customHeight="1" thickTop="1" thickBot="1">
      <c r="A220" s="4342"/>
      <c r="B220" s="4343"/>
      <c r="C220" s="4343"/>
      <c r="D220" s="4343"/>
      <c r="E220" s="4343"/>
      <c r="F220" s="4343"/>
      <c r="G220" s="4343"/>
      <c r="H220" s="4343"/>
      <c r="I220" s="4343"/>
      <c r="J220" s="4343"/>
      <c r="K220" s="4343"/>
      <c r="L220" s="4343"/>
      <c r="M220" s="4343"/>
      <c r="N220" s="4343"/>
      <c r="O220" s="4343"/>
      <c r="P220" s="4344"/>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1"/>
      <c r="B223" s="4402"/>
      <c r="C223" s="4402"/>
      <c r="D223" s="4402"/>
      <c r="E223" s="4402"/>
      <c r="F223" s="4402"/>
      <c r="G223" s="4402"/>
      <c r="H223" s="4402"/>
      <c r="I223" s="4402"/>
      <c r="J223" s="4402"/>
      <c r="K223" s="4402"/>
      <c r="L223" s="4402"/>
      <c r="M223" s="4402"/>
      <c r="N223" s="4402"/>
      <c r="O223" s="4402"/>
      <c r="P223" s="4403"/>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35" t="s">
        <v>4145</v>
      </c>
      <c r="H225" s="1462" t="e">
        <f>IF(OR($M$34="9% Credit Competitive Round only", $M$34="9% Credit &amp; HOME"),"9%",IF(OR($M$34="4% Credit/TE Bond", $M$34="4% Credit/TE Bond &amp; HOME", $M$34="4% Credit/TE Bond &amp; HOME NOFA", $M$34="4% Credit &amp; NHTF", $M$34="4% Credit &amp; NHTF &amp; HOME"),"4%",""))</f>
        <v>#REF!</v>
      </c>
      <c r="J225" s="1535" t="s">
        <v>362</v>
      </c>
      <c r="K225" s="4535" t="str">
        <f>M55</f>
        <v>&lt;&lt; Select Activity Type &gt;&gt;</v>
      </c>
      <c r="L225" s="453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4146</v>
      </c>
      <c r="D226" s="32"/>
      <c r="E226" s="29"/>
      <c r="F226" s="119"/>
      <c r="G226" s="878" t="s">
        <v>3069</v>
      </c>
      <c r="H226" s="1132" t="e">
        <f>IF(#REF!=0,0,#REF!/#REF!)</f>
        <v>#REF!</v>
      </c>
      <c r="J226" s="369" t="s">
        <v>3834</v>
      </c>
      <c r="K226" s="4505" t="e">
        <f>#REF!</f>
        <v>#REF!</v>
      </c>
      <c r="L226" s="4506"/>
      <c r="M226" s="31"/>
      <c r="N226" s="119"/>
      <c r="O226" s="24"/>
      <c r="P226" s="3"/>
    </row>
    <row r="227" spans="1:24" ht="12" customHeight="1">
      <c r="A227" s="674" t="s">
        <v>1836</v>
      </c>
      <c r="B227" s="67" t="s">
        <v>3832</v>
      </c>
      <c r="C227" s="44"/>
      <c r="E227" s="236" t="s">
        <v>3833</v>
      </c>
      <c r="M227" s="457">
        <v>1</v>
      </c>
      <c r="N227" s="48" t="s">
        <v>1836</v>
      </c>
      <c r="O227" s="1261"/>
      <c r="P227" s="1262"/>
      <c r="Q227" s="785" t="str">
        <f>IF(OR($O227=$M227,$O227=0,$O227=""),"","*CHECK!*")</f>
        <v/>
      </c>
      <c r="R227" s="782" t="s">
        <v>3927</v>
      </c>
    </row>
    <row r="228" spans="1:24" ht="12" customHeight="1">
      <c r="A228" s="674" t="s">
        <v>1838</v>
      </c>
      <c r="B228" s="67" t="s">
        <v>3688</v>
      </c>
      <c r="C228" s="44"/>
      <c r="E228" s="236" t="s">
        <v>3910</v>
      </c>
      <c r="M228" s="869">
        <v>1</v>
      </c>
      <c r="N228" s="48" t="s">
        <v>1838</v>
      </c>
      <c r="O228" s="406"/>
      <c r="P228" s="414"/>
      <c r="Q228" s="785" t="str">
        <f>IF(OR($O228=$M228,$O228=0,$O228=""),"","*CHECK!*")</f>
        <v/>
      </c>
      <c r="R228" s="782" t="s">
        <v>3927</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1"/>
      <c r="B231" s="4402"/>
      <c r="C231" s="4402"/>
      <c r="D231" s="4402"/>
      <c r="E231" s="4402"/>
      <c r="F231" s="4402"/>
      <c r="G231" s="4402"/>
      <c r="H231" s="4402"/>
      <c r="I231" s="4402"/>
      <c r="J231" s="4402"/>
      <c r="K231" s="4402"/>
      <c r="L231" s="4402"/>
      <c r="M231" s="4402"/>
      <c r="N231" s="4402"/>
      <c r="O231" s="4402"/>
      <c r="P231" s="4403"/>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3254</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3179</v>
      </c>
      <c r="D235" s="371"/>
      <c r="E235" s="371"/>
      <c r="F235" s="371"/>
      <c r="G235" s="371"/>
      <c r="H235" s="371"/>
      <c r="L235" s="371"/>
      <c r="M235" s="4499"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3180</v>
      </c>
      <c r="D236" s="371"/>
      <c r="L236" s="371"/>
      <c r="M236" s="4499"/>
      <c r="N236" s="48" t="s">
        <v>1838</v>
      </c>
      <c r="O236" s="176"/>
      <c r="P236" s="420"/>
      <c r="Q236" s="795"/>
      <c r="R236" s="1542"/>
      <c r="S236" s="1542"/>
      <c r="T236" s="1542"/>
      <c r="U236" s="1542"/>
      <c r="V236" s="1542"/>
    </row>
    <row r="237" spans="1:24" s="36" customFormat="1" ht="10.5" customHeight="1" thickBot="1">
      <c r="A237" s="35"/>
      <c r="B237" s="924" t="s">
        <v>3157</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42"/>
      <c r="B238" s="4343"/>
      <c r="C238" s="4343"/>
      <c r="D238" s="4343"/>
      <c r="E238" s="4343"/>
      <c r="F238" s="4343"/>
      <c r="G238" s="4343"/>
      <c r="H238" s="4343"/>
      <c r="I238" s="4343"/>
      <c r="J238" s="4343"/>
      <c r="K238" s="4343"/>
      <c r="L238" s="4343"/>
      <c r="M238" s="4343"/>
      <c r="N238" s="4343"/>
      <c r="O238" s="4343"/>
      <c r="P238" s="4344"/>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1"/>
      <c r="B240" s="4402"/>
      <c r="C240" s="4402"/>
      <c r="D240" s="4402"/>
      <c r="E240" s="4402"/>
      <c r="F240" s="4402"/>
      <c r="G240" s="4402"/>
      <c r="H240" s="4402"/>
      <c r="I240" s="4402"/>
      <c r="J240" s="4402"/>
      <c r="K240" s="4402"/>
      <c r="L240" s="4402"/>
      <c r="M240" s="4402"/>
      <c r="N240" s="4402"/>
      <c r="O240" s="4402"/>
      <c r="P240" s="4403"/>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3927</v>
      </c>
      <c r="S242" s="826"/>
      <c r="T242" s="826"/>
      <c r="U242" s="826"/>
      <c r="V242" s="826"/>
      <c r="W242" s="847"/>
      <c r="X242" s="847"/>
    </row>
    <row r="243" spans="1:27" s="79" customFormat="1" ht="11.25">
      <c r="A243" s="349"/>
      <c r="B243" s="108" t="s">
        <v>4153</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4154</v>
      </c>
      <c r="E244" s="33" t="s">
        <v>3225</v>
      </c>
      <c r="G244" s="1555"/>
      <c r="H244" s="48" t="s">
        <v>573</v>
      </c>
      <c r="I244" s="4370"/>
      <c r="J244" s="4370"/>
      <c r="L244" s="1574" t="s">
        <v>4156</v>
      </c>
      <c r="M244" s="4371"/>
      <c r="N244" s="4371"/>
    </row>
    <row r="245" spans="1:27" s="32" customFormat="1" ht="11.25" customHeight="1">
      <c r="A245" s="306"/>
      <c r="B245" s="349" t="s">
        <v>1841</v>
      </c>
      <c r="C245" s="29" t="s">
        <v>4155</v>
      </c>
      <c r="E245" s="33" t="s">
        <v>3225</v>
      </c>
      <c r="G245" s="1556"/>
      <c r="H245" s="48" t="s">
        <v>573</v>
      </c>
      <c r="I245" s="4500"/>
      <c r="J245" s="4500"/>
      <c r="L245" s="1574" t="s">
        <v>4156</v>
      </c>
      <c r="M245" s="4504"/>
      <c r="N245" s="450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3157</v>
      </c>
      <c r="C247" s="35"/>
      <c r="D247" s="41"/>
      <c r="E247" s="41"/>
      <c r="F247" s="41"/>
      <c r="G247" s="41"/>
      <c r="H247" s="29"/>
      <c r="I247" s="29"/>
      <c r="J247" s="29"/>
      <c r="K247" s="29"/>
      <c r="M247" s="39"/>
      <c r="N247" s="47"/>
      <c r="O247" s="3"/>
      <c r="P247" s="24"/>
    </row>
    <row r="248" spans="1:27" s="36" customFormat="1" ht="21.75" customHeight="1" thickTop="1" thickBot="1">
      <c r="A248" s="4342"/>
      <c r="B248" s="4343"/>
      <c r="C248" s="4343"/>
      <c r="D248" s="4343"/>
      <c r="E248" s="4343"/>
      <c r="F248" s="4343"/>
      <c r="G248" s="4343"/>
      <c r="H248" s="4343"/>
      <c r="I248" s="4343"/>
      <c r="J248" s="4343"/>
      <c r="K248" s="4343"/>
      <c r="L248" s="4343"/>
      <c r="M248" s="4343"/>
      <c r="N248" s="4343"/>
      <c r="O248" s="4343"/>
      <c r="P248" s="4344"/>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2"/>
      <c r="B250" s="4143"/>
      <c r="C250" s="4143"/>
      <c r="D250" s="4143"/>
      <c r="E250" s="4143"/>
      <c r="F250" s="4143"/>
      <c r="G250" s="4143"/>
      <c r="H250" s="4143"/>
      <c r="I250" s="4143"/>
      <c r="J250" s="4143"/>
      <c r="K250" s="4143"/>
      <c r="L250" s="4143"/>
      <c r="M250" s="4143"/>
      <c r="N250" s="4143"/>
      <c r="O250" s="4143"/>
      <c r="P250" s="414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3835</v>
      </c>
      <c r="D252" s="34"/>
      <c r="E252" s="44" t="s">
        <v>4162</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3927</v>
      </c>
      <c r="S252" s="1557"/>
      <c r="T252" s="1557"/>
      <c r="U252" s="1557"/>
      <c r="V252" s="1557"/>
      <c r="W252" s="847"/>
      <c r="X252" s="847"/>
    </row>
    <row r="253" spans="1:27" s="26" customFormat="1" ht="11.25" customHeight="1">
      <c r="A253" s="107" t="s">
        <v>1836</v>
      </c>
      <c r="B253" s="141" t="s">
        <v>4161</v>
      </c>
      <c r="M253" s="457">
        <v>5</v>
      </c>
      <c r="N253" s="48" t="s">
        <v>1836</v>
      </c>
      <c r="O253" s="1558"/>
      <c r="P253" s="888"/>
      <c r="Q253" s="785" t="str">
        <f>IF(OR($O253=$M253,$O253=$M253-1,$O253=0,$O253=""),"","*CHECK!*")</f>
        <v/>
      </c>
      <c r="R253" s="782" t="s">
        <v>3927</v>
      </c>
      <c r="S253" s="1557"/>
      <c r="T253" s="1557"/>
      <c r="U253" s="1557"/>
      <c r="V253" s="1557"/>
    </row>
    <row r="254" spans="1:27" s="26" customFormat="1" ht="11.25" customHeight="1">
      <c r="A254" s="107" t="s">
        <v>1838</v>
      </c>
      <c r="B254" s="141" t="s">
        <v>4163</v>
      </c>
      <c r="M254" s="457">
        <v>3</v>
      </c>
      <c r="N254" s="48" t="s">
        <v>1838</v>
      </c>
      <c r="O254" s="405"/>
      <c r="P254" s="413"/>
      <c r="Q254" s="785" t="str">
        <f>IF(OR($O254=$M254,$O254=$M254-1,$O254=0,$O254=""),"","*CHECK!*")</f>
        <v/>
      </c>
      <c r="R254" s="782" t="s">
        <v>3927</v>
      </c>
    </row>
    <row r="255" spans="1:27">
      <c r="A255" s="107" t="s">
        <v>697</v>
      </c>
      <c r="B255" s="141" t="s">
        <v>4164</v>
      </c>
      <c r="E255" s="33" t="s">
        <v>4126</v>
      </c>
      <c r="I255" s="1259"/>
      <c r="L255" s="1516"/>
      <c r="M255" s="457">
        <v>3</v>
      </c>
      <c r="N255" s="48" t="s">
        <v>697</v>
      </c>
      <c r="O255" s="406"/>
      <c r="P255" s="414"/>
      <c r="Q255" s="785" t="str">
        <f>IF(OR($O255=$M255,$O255=$M255-1,$O255=0,$O255=""),"","*CHECK!*")</f>
        <v/>
      </c>
      <c r="R255" s="782" t="s">
        <v>3927</v>
      </c>
    </row>
    <row r="256" spans="1:27" s="36" customFormat="1" ht="10.5" customHeight="1" thickBot="1">
      <c r="A256" s="35"/>
      <c r="B256" s="924" t="s">
        <v>3157</v>
      </c>
      <c r="C256" s="35"/>
      <c r="D256" s="41"/>
      <c r="E256" s="41"/>
      <c r="F256" s="41"/>
      <c r="G256" s="41"/>
      <c r="H256" s="29"/>
      <c r="I256" s="29"/>
      <c r="J256" s="29"/>
      <c r="K256" s="29"/>
      <c r="M256" s="39"/>
      <c r="N256" s="47"/>
      <c r="O256" s="3"/>
      <c r="P256" s="24"/>
    </row>
    <row r="257" spans="1:21" s="36" customFormat="1" ht="21.75" customHeight="1" thickTop="1" thickBot="1">
      <c r="A257" s="4342"/>
      <c r="B257" s="4343"/>
      <c r="C257" s="4343"/>
      <c r="D257" s="4343"/>
      <c r="E257" s="4343"/>
      <c r="F257" s="4343"/>
      <c r="G257" s="4343"/>
      <c r="H257" s="4343"/>
      <c r="I257" s="4343"/>
      <c r="J257" s="4343"/>
      <c r="K257" s="4343"/>
      <c r="L257" s="4343"/>
      <c r="M257" s="4343"/>
      <c r="N257" s="4343"/>
      <c r="O257" s="4343"/>
      <c r="P257" s="4344"/>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2"/>
      <c r="B259" s="4143"/>
      <c r="C259" s="4143"/>
      <c r="D259" s="4143"/>
      <c r="E259" s="4143"/>
      <c r="F259" s="4143"/>
      <c r="G259" s="4143"/>
      <c r="H259" s="4143"/>
      <c r="I259" s="4143"/>
      <c r="J259" s="4143"/>
      <c r="K259" s="4143"/>
      <c r="L259" s="4143"/>
      <c r="M259" s="4143"/>
      <c r="N259" s="4143"/>
      <c r="O259" s="4143"/>
      <c r="P259" s="4144"/>
      <c r="Q259" s="353"/>
    </row>
    <row r="260" spans="1:21" ht="6" customHeight="1" thickBot="1">
      <c r="T260" s="832"/>
      <c r="U260" s="832"/>
    </row>
    <row r="261" spans="1:21" s="36" customFormat="1" ht="13.5" customHeight="1" thickBot="1">
      <c r="A261" s="121" t="s">
        <v>2075</v>
      </c>
      <c r="B261" s="83" t="s">
        <v>2509</v>
      </c>
      <c r="D261" s="34"/>
      <c r="E261" s="34"/>
      <c r="F261" s="34"/>
      <c r="H261" s="33"/>
      <c r="J261" s="878"/>
      <c r="K261" s="41"/>
      <c r="L261" s="48" t="s">
        <v>3928</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4507</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4508</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4509</v>
      </c>
      <c r="D265" s="46"/>
      <c r="E265" s="46"/>
      <c r="F265" s="37"/>
      <c r="G265"/>
      <c r="K265" s="48"/>
      <c r="M265" s="457">
        <v>1</v>
      </c>
      <c r="N265" s="150" t="s">
        <v>2326</v>
      </c>
      <c r="O265" s="176"/>
      <c r="P265" s="420"/>
      <c r="R265" s="236"/>
      <c r="T265" s="832"/>
      <c r="U265" s="832"/>
    </row>
    <row r="266" spans="1:21" s="36" customFormat="1" ht="11.25" customHeight="1">
      <c r="A266" s="107" t="s">
        <v>1838</v>
      </c>
      <c r="B266" s="141" t="s">
        <v>3827</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5" t="s">
        <v>4510</v>
      </c>
      <c r="C267" s="4125"/>
      <c r="D267" s="4125"/>
      <c r="E267" s="4125"/>
      <c r="F267" s="4125"/>
      <c r="G267" s="4125"/>
      <c r="H267" s="4125"/>
      <c r="I267" s="4125"/>
      <c r="J267" s="4125"/>
      <c r="K267" s="4125"/>
      <c r="L267" s="4125"/>
      <c r="M267" s="5"/>
      <c r="N267" s="48"/>
      <c r="O267" s="925"/>
      <c r="P267" s="926"/>
      <c r="Q267" s="236"/>
      <c r="R267" s="307"/>
      <c r="T267" s="832"/>
      <c r="U267" s="832"/>
    </row>
    <row r="268" spans="1:21" s="36" customFormat="1" ht="11.25" customHeight="1">
      <c r="A268" s="107" t="s">
        <v>697</v>
      </c>
      <c r="B268" s="141" t="s">
        <v>3700</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3" t="s">
        <v>4511</v>
      </c>
      <c r="C269" s="4103"/>
      <c r="D269" s="4103"/>
      <c r="E269" s="4103"/>
      <c r="F269" s="4103"/>
      <c r="G269" s="4103"/>
      <c r="H269" s="4103"/>
      <c r="I269" s="4103"/>
      <c r="J269" s="4103"/>
      <c r="K269" s="4103"/>
      <c r="L269" s="4103"/>
      <c r="M269" s="5"/>
      <c r="N269" s="48"/>
      <c r="O269" s="883"/>
      <c r="P269" s="882"/>
      <c r="Q269" s="236"/>
      <c r="R269" s="307"/>
      <c r="T269" s="832"/>
      <c r="U269" s="832"/>
    </row>
    <row r="270" spans="1:21" s="36" customFormat="1" ht="22.5" customHeight="1">
      <c r="B270" s="4103" t="s">
        <v>4127</v>
      </c>
      <c r="C270" s="4103"/>
      <c r="D270" s="4103"/>
      <c r="E270" s="4103"/>
      <c r="F270" s="4103"/>
      <c r="G270" s="4103"/>
      <c r="H270" s="4103"/>
      <c r="I270" s="4103"/>
      <c r="J270" s="4103"/>
      <c r="K270" s="4103"/>
      <c r="L270" s="4103"/>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2"/>
      <c r="B272" s="4143"/>
      <c r="C272" s="4143"/>
      <c r="D272" s="4143"/>
      <c r="E272" s="4143"/>
      <c r="F272" s="4143"/>
      <c r="G272" s="4143"/>
      <c r="H272" s="4143"/>
      <c r="I272" s="4143"/>
      <c r="J272" s="4143"/>
      <c r="K272" s="4143"/>
      <c r="L272" s="4143"/>
      <c r="M272" s="4143"/>
      <c r="N272" s="4143"/>
      <c r="O272" s="4143"/>
      <c r="P272" s="414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3282</v>
      </c>
      <c r="B274" s="83" t="s">
        <v>4467</v>
      </c>
      <c r="D274" s="38"/>
      <c r="E274" s="38"/>
      <c r="G274" s="1537"/>
      <c r="H274" s="147"/>
      <c r="I274" s="1535" t="s">
        <v>4040</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4468</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4469</v>
      </c>
      <c r="D277" s="371"/>
      <c r="L277" s="371"/>
      <c r="M277" s="869">
        <v>2</v>
      </c>
      <c r="N277" s="48" t="s">
        <v>1838</v>
      </c>
      <c r="O277" s="176"/>
      <c r="P277" s="420"/>
      <c r="Q277" s="795">
        <f>IF(L277="Yes",1,0)</f>
        <v>0</v>
      </c>
      <c r="R277" s="1542"/>
      <c r="S277" s="1542"/>
      <c r="T277" s="1542"/>
      <c r="U277" s="1542"/>
      <c r="V277" s="1542"/>
    </row>
    <row r="278" spans="1:24" ht="11.25" customHeight="1">
      <c r="B278" s="241" t="s">
        <v>4574</v>
      </c>
      <c r="D278" s="371"/>
      <c r="L278" s="371"/>
      <c r="M278" s="869"/>
      <c r="N278" s="869"/>
      <c r="O278" s="869"/>
      <c r="P278" s="869"/>
      <c r="Q278" s="795"/>
      <c r="R278" s="1542"/>
      <c r="S278" s="1542"/>
      <c r="T278" s="1542"/>
      <c r="U278" s="1542"/>
      <c r="V278" s="1542"/>
    </row>
    <row r="279" spans="1:24" ht="38.25" customHeight="1">
      <c r="B279" s="4521"/>
      <c r="C279" s="4522"/>
      <c r="D279" s="4522"/>
      <c r="E279" s="4522"/>
      <c r="F279" s="4522"/>
      <c r="G279" s="4522"/>
      <c r="H279" s="4522"/>
      <c r="I279" s="4522"/>
      <c r="J279" s="4522"/>
      <c r="K279" s="4522"/>
      <c r="L279" s="4522"/>
      <c r="M279" s="4522"/>
      <c r="N279" s="4522"/>
      <c r="O279" s="4522"/>
      <c r="P279" s="4523"/>
      <c r="Q279" s="795"/>
      <c r="R279" s="1542"/>
      <c r="S279" s="1542"/>
      <c r="T279" s="1542"/>
      <c r="U279" s="1542"/>
      <c r="V279" s="1542"/>
    </row>
    <row r="280" spans="1:24" s="36" customFormat="1" ht="10.5" customHeight="1" thickBot="1">
      <c r="A280" s="35"/>
      <c r="B280" s="924" t="s">
        <v>3157</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42"/>
      <c r="B281" s="4343"/>
      <c r="C281" s="4343"/>
      <c r="D281" s="4343"/>
      <c r="E281" s="4343"/>
      <c r="F281" s="4343"/>
      <c r="G281" s="4343"/>
      <c r="H281" s="4343"/>
      <c r="I281" s="4343"/>
      <c r="J281" s="4343"/>
      <c r="K281" s="4343"/>
      <c r="L281" s="4343"/>
      <c r="M281" s="4343"/>
      <c r="N281" s="4343"/>
      <c r="O281" s="4343"/>
      <c r="P281" s="4344"/>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1"/>
      <c r="B283" s="4402"/>
      <c r="C283" s="4402"/>
      <c r="D283" s="4402"/>
      <c r="E283" s="4402"/>
      <c r="F283" s="4402"/>
      <c r="G283" s="4402"/>
      <c r="H283" s="4402"/>
      <c r="I283" s="4402"/>
      <c r="J283" s="4402"/>
      <c r="K283" s="4402"/>
      <c r="L283" s="4402"/>
      <c r="M283" s="4402"/>
      <c r="N283" s="4402"/>
      <c r="O283" s="4402"/>
      <c r="P283" s="4403"/>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3283</v>
      </c>
      <c r="B285" s="83" t="s">
        <v>4472</v>
      </c>
      <c r="D285" s="38"/>
      <c r="E285" s="38"/>
      <c r="G285" s="1537"/>
      <c r="H285" s="147"/>
      <c r="I285" s="147" t="s">
        <v>4593</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4587</v>
      </c>
      <c r="D286" s="38"/>
      <c r="E286" s="38"/>
      <c r="G286" s="147"/>
      <c r="J286" s="1253"/>
      <c r="M286" s="455"/>
      <c r="Q286" s="86"/>
      <c r="R286" s="1542"/>
      <c r="S286" s="1542"/>
      <c r="T286" s="1542"/>
      <c r="U286" s="1542"/>
      <c r="V286" s="1542"/>
      <c r="W286" s="36"/>
      <c r="X286" s="36"/>
    </row>
    <row r="287" spans="1:24" s="70" customFormat="1" ht="11.25" customHeight="1">
      <c r="A287" s="120"/>
      <c r="C287" s="29" t="s">
        <v>4584</v>
      </c>
      <c r="G287" s="147"/>
      <c r="I287" s="4549"/>
      <c r="J287" s="4550"/>
      <c r="K287" s="4551"/>
      <c r="L287" s="4552"/>
      <c r="M287" s="455"/>
      <c r="O287" s="1829"/>
      <c r="P287" s="1830"/>
      <c r="Q287" s="86"/>
      <c r="R287" s="1542"/>
      <c r="S287" s="1542"/>
      <c r="T287" s="1542"/>
      <c r="U287" s="1542"/>
      <c r="V287" s="1542"/>
      <c r="W287" s="36"/>
      <c r="X287" s="36"/>
    </row>
    <row r="288" spans="1:24" s="70" customFormat="1" ht="11.25" customHeight="1">
      <c r="A288" s="120"/>
      <c r="C288" s="29" t="s">
        <v>4583</v>
      </c>
      <c r="G288" s="147"/>
      <c r="I288" s="4553"/>
      <c r="J288" s="4554"/>
      <c r="M288" s="455"/>
      <c r="O288" s="1829"/>
      <c r="P288" s="1830"/>
      <c r="Q288" s="86"/>
      <c r="R288" s="1542"/>
      <c r="S288" s="1542"/>
      <c r="T288" s="1542"/>
      <c r="U288" s="1542"/>
      <c r="V288" s="1542"/>
      <c r="W288" s="36"/>
      <c r="X288" s="36"/>
    </row>
    <row r="289" spans="1:24" s="70" customFormat="1" ht="11.25" customHeight="1">
      <c r="A289" s="120"/>
      <c r="C289" s="29" t="s">
        <v>4585</v>
      </c>
      <c r="G289" s="147"/>
      <c r="I289" s="4555" t="s">
        <v>4586</v>
      </c>
      <c r="J289" s="4556"/>
      <c r="K289" s="4557"/>
      <c r="L289" s="4558"/>
      <c r="M289" s="455"/>
      <c r="O289" s="4559" t="s">
        <v>3066</v>
      </c>
      <c r="P289" s="4559" t="s">
        <v>3067</v>
      </c>
      <c r="Q289" s="86"/>
      <c r="R289" s="1542"/>
      <c r="S289" s="1542"/>
      <c r="T289" s="1542"/>
      <c r="U289" s="1542"/>
      <c r="V289" s="1542"/>
      <c r="W289" s="36"/>
      <c r="X289" s="36"/>
    </row>
    <row r="290" spans="1:24" s="36" customFormat="1" ht="11.25" customHeight="1">
      <c r="A290" s="120"/>
      <c r="B290" s="29" t="s">
        <v>4476</v>
      </c>
      <c r="D290" s="34"/>
      <c r="H290" s="141"/>
      <c r="M290" s="119"/>
      <c r="N290" s="48"/>
      <c r="O290" s="4560"/>
      <c r="P290" s="4560"/>
      <c r="Q290" s="86"/>
      <c r="R290" s="866"/>
      <c r="S290" s="866"/>
      <c r="T290" s="866"/>
      <c r="U290" s="866"/>
    </row>
    <row r="291" spans="1:24" s="36" customFormat="1" ht="11.25" customHeight="1">
      <c r="A291" s="1828"/>
      <c r="B291" s="128" t="s">
        <v>2234</v>
      </c>
      <c r="C291" s="29" t="s">
        <v>4475</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4592</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4477</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4473</v>
      </c>
      <c r="D295" s="371"/>
      <c r="E295" s="371"/>
      <c r="G295" s="371" t="s">
        <v>4481</v>
      </c>
      <c r="H295" s="371"/>
      <c r="L295" s="371"/>
      <c r="M295" s="869">
        <v>2</v>
      </c>
      <c r="N295" s="48" t="s">
        <v>1836</v>
      </c>
      <c r="O295" s="886"/>
      <c r="P295" s="870"/>
      <c r="Q295" s="1751" t="str">
        <f>IF(OR(O295=0,O295="",O295=$M295),"","Check!")</f>
        <v/>
      </c>
      <c r="R295" s="854" t="s">
        <v>2453</v>
      </c>
      <c r="S295" s="1542"/>
      <c r="T295" s="1542"/>
      <c r="U295" s="1542"/>
      <c r="V295" s="1542"/>
    </row>
    <row r="296" spans="1:24" s="331" customFormat="1" ht="21.75" customHeight="1">
      <c r="A296" s="1520"/>
      <c r="B296" s="349" t="s">
        <v>1839</v>
      </c>
      <c r="C296" s="4103" t="s">
        <v>4482</v>
      </c>
      <c r="D296" s="4103"/>
      <c r="E296" s="4103"/>
      <c r="F296" s="4103"/>
      <c r="G296" s="4103"/>
      <c r="H296" s="4103"/>
      <c r="I296" s="4103"/>
      <c r="J296" s="4103"/>
      <c r="K296" s="4103"/>
      <c r="L296" s="4103"/>
      <c r="M296" s="4103"/>
      <c r="N296" s="150" t="s">
        <v>1839</v>
      </c>
      <c r="O296" s="1224"/>
      <c r="P296" s="1225"/>
      <c r="Q296" s="330"/>
      <c r="R296" s="1750"/>
      <c r="S296" s="1750"/>
      <c r="T296" s="1750"/>
      <c r="U296" s="1750"/>
    </row>
    <row r="297" spans="1:24" s="331" customFormat="1" ht="21.75" customHeight="1" thickBot="1">
      <c r="A297" s="1520"/>
      <c r="B297" s="349" t="s">
        <v>1841</v>
      </c>
      <c r="C297" s="4103" t="s">
        <v>4483</v>
      </c>
      <c r="D297" s="4103"/>
      <c r="E297" s="4103"/>
      <c r="F297" s="4103"/>
      <c r="G297" s="4103"/>
      <c r="H297" s="4103"/>
      <c r="I297" s="4103"/>
      <c r="J297" s="4103"/>
      <c r="K297" s="4103"/>
      <c r="L297" s="4103"/>
      <c r="M297" s="4103"/>
      <c r="N297" s="150" t="s">
        <v>1841</v>
      </c>
      <c r="O297" s="883"/>
      <c r="P297" s="882"/>
      <c r="Q297" s="330"/>
      <c r="R297" s="1750"/>
      <c r="S297" s="1750"/>
      <c r="T297" s="1750"/>
      <c r="U297" s="1750"/>
    </row>
    <row r="298" spans="1:24" ht="11.25" customHeight="1" thickBot="1">
      <c r="A298" s="674" t="s">
        <v>1838</v>
      </c>
      <c r="B298" s="872" t="s">
        <v>4474</v>
      </c>
      <c r="D298" s="371"/>
      <c r="G298" s="44" t="s">
        <v>4484</v>
      </c>
      <c r="L298" s="371"/>
      <c r="M298" s="869">
        <v>2</v>
      </c>
      <c r="N298" s="48" t="s">
        <v>1838</v>
      </c>
      <c r="O298" s="886"/>
      <c r="P298" s="870"/>
      <c r="Q298" s="1751" t="str">
        <f>IF(OR(O298=0,O298="",O298=$M298),"","Check!")</f>
        <v/>
      </c>
      <c r="R298" s="854" t="s">
        <v>2453</v>
      </c>
      <c r="S298" s="1542"/>
      <c r="T298" s="1542"/>
      <c r="U298" s="1542"/>
      <c r="V298" s="1542"/>
    </row>
    <row r="299" spans="1:24" s="331" customFormat="1" ht="10.5" customHeight="1">
      <c r="A299" s="1520"/>
      <c r="B299" s="349" t="s">
        <v>1839</v>
      </c>
      <c r="C299" s="4103" t="s">
        <v>4485</v>
      </c>
      <c r="D299" s="4103"/>
      <c r="E299" s="4103"/>
      <c r="F299" s="4103"/>
      <c r="G299" s="4103"/>
      <c r="H299" s="4103"/>
      <c r="I299" s="4103"/>
      <c r="J299" s="4103"/>
      <c r="K299" s="4103"/>
      <c r="L299" s="4103"/>
      <c r="M299" s="4103"/>
      <c r="N299" s="150" t="s">
        <v>1839</v>
      </c>
      <c r="O299" s="1224"/>
      <c r="P299" s="1225"/>
      <c r="Q299" s="330"/>
      <c r="R299" s="1750"/>
      <c r="S299" s="1750"/>
      <c r="T299" s="1750"/>
      <c r="U299" s="1750"/>
    </row>
    <row r="300" spans="1:24" s="331" customFormat="1" ht="10.5" customHeight="1">
      <c r="A300" s="1520"/>
      <c r="B300" s="349" t="s">
        <v>1841</v>
      </c>
      <c r="C300" s="4103" t="s">
        <v>4486</v>
      </c>
      <c r="D300" s="4103"/>
      <c r="E300" s="4103"/>
      <c r="F300" s="4103"/>
      <c r="G300" s="4103"/>
      <c r="H300" s="4103"/>
      <c r="I300" s="4103"/>
      <c r="J300" s="4103"/>
      <c r="K300" s="4103"/>
      <c r="L300" s="4103"/>
      <c r="M300" s="4103"/>
      <c r="N300" s="150" t="s">
        <v>1841</v>
      </c>
      <c r="O300" s="883"/>
      <c r="P300" s="882"/>
      <c r="Q300" s="330"/>
      <c r="R300" s="1750"/>
      <c r="S300" s="1750"/>
      <c r="T300" s="1750"/>
      <c r="U300" s="1750"/>
    </row>
    <row r="301" spans="1:24" s="331" customFormat="1" ht="10.5" customHeight="1">
      <c r="A301" s="1520"/>
      <c r="B301" s="349" t="s">
        <v>2326</v>
      </c>
      <c r="C301" s="673" t="s">
        <v>4588</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4487</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4488</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3" t="s">
        <v>4489</v>
      </c>
      <c r="D304" s="4103"/>
      <c r="E304" s="4103"/>
      <c r="F304" s="4103"/>
      <c r="G304" s="4103"/>
      <c r="H304" s="4103"/>
      <c r="I304" s="4103"/>
      <c r="J304" s="4103"/>
      <c r="K304" s="4103"/>
      <c r="L304" s="4103"/>
      <c r="M304" s="4103"/>
      <c r="N304" s="150" t="s">
        <v>1149</v>
      </c>
      <c r="O304" s="883"/>
      <c r="P304" s="882"/>
      <c r="Q304" s="330"/>
      <c r="R304" s="1750"/>
      <c r="S304" s="1750"/>
      <c r="T304" s="1750"/>
      <c r="U304" s="1750"/>
    </row>
    <row r="305" spans="1:22" s="36" customFormat="1" ht="10.5" customHeight="1" thickBot="1">
      <c r="A305" s="35"/>
      <c r="B305" s="924" t="s">
        <v>3157</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42"/>
      <c r="B306" s="4343"/>
      <c r="C306" s="4343"/>
      <c r="D306" s="4343"/>
      <c r="E306" s="4343"/>
      <c r="F306" s="4343"/>
      <c r="G306" s="4343"/>
      <c r="H306" s="4343"/>
      <c r="I306" s="4343"/>
      <c r="J306" s="4343"/>
      <c r="K306" s="4343"/>
      <c r="L306" s="4343"/>
      <c r="M306" s="4343"/>
      <c r="N306" s="4343"/>
      <c r="O306" s="4343"/>
      <c r="P306" s="4344"/>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1"/>
      <c r="B308" s="4402"/>
      <c r="C308" s="4402"/>
      <c r="D308" s="4402"/>
      <c r="E308" s="4402"/>
      <c r="F308" s="4402"/>
      <c r="G308" s="4402"/>
      <c r="H308" s="4402"/>
      <c r="I308" s="4402"/>
      <c r="J308" s="4402"/>
      <c r="K308" s="4402"/>
      <c r="L308" s="4402"/>
      <c r="M308" s="4402"/>
      <c r="N308" s="4402"/>
      <c r="O308" s="4402"/>
      <c r="P308" s="4403"/>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3281</v>
      </c>
      <c r="B310" s="83" t="s">
        <v>4478</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4479</v>
      </c>
      <c r="D311" s="371"/>
      <c r="E311" s="371" t="s">
        <v>4490</v>
      </c>
      <c r="F311" s="371"/>
      <c r="G311" s="371"/>
      <c r="H311" s="371"/>
      <c r="I311" s="4367"/>
      <c r="J311" s="4368"/>
      <c r="K311" s="4368"/>
      <c r="L311" s="4369"/>
      <c r="M311" s="869">
        <v>2</v>
      </c>
      <c r="N311" s="48" t="s">
        <v>1836</v>
      </c>
      <c r="O311" s="1261"/>
      <c r="P311" s="1262"/>
      <c r="Q311" s="1751" t="str">
        <f>IF(OR(O311=0,O311="",O311=$M311),"","Check!")</f>
        <v/>
      </c>
      <c r="R311" s="854" t="s">
        <v>2453</v>
      </c>
      <c r="S311" s="1542"/>
      <c r="T311" s="1542"/>
      <c r="U311" s="1542"/>
      <c r="V311" s="1542"/>
    </row>
    <row r="312" spans="1:22" ht="11.25" customHeight="1">
      <c r="A312" s="674" t="s">
        <v>1838</v>
      </c>
      <c r="B312" s="872" t="s">
        <v>4480</v>
      </c>
      <c r="D312" s="371"/>
      <c r="L312" s="371"/>
      <c r="M312" s="869">
        <v>2</v>
      </c>
      <c r="N312" s="48" t="s">
        <v>1838</v>
      </c>
      <c r="O312" s="406"/>
      <c r="P312" s="414"/>
      <c r="Q312" s="1751" t="str">
        <f>IF(OR(O312=0,O312="",O312=$M312),"","Check!")</f>
        <v/>
      </c>
      <c r="R312" s="854" t="s">
        <v>2453</v>
      </c>
      <c r="S312" s="1542"/>
      <c r="T312" s="1542"/>
      <c r="U312" s="1542"/>
      <c r="V312" s="1542"/>
    </row>
    <row r="313" spans="1:22" s="36" customFormat="1" ht="10.5" customHeight="1" thickBot="1">
      <c r="A313" s="35"/>
      <c r="B313" s="924" t="s">
        <v>3157</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42"/>
      <c r="B314" s="4343"/>
      <c r="C314" s="4343"/>
      <c r="D314" s="4343"/>
      <c r="E314" s="4343"/>
      <c r="F314" s="4343"/>
      <c r="G314" s="4343"/>
      <c r="H314" s="4343"/>
      <c r="I314" s="4343"/>
      <c r="J314" s="4343"/>
      <c r="K314" s="4343"/>
      <c r="L314" s="4343"/>
      <c r="M314" s="4343"/>
      <c r="N314" s="4343"/>
      <c r="O314" s="4343"/>
      <c r="P314" s="4344"/>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1"/>
      <c r="B316" s="4402"/>
      <c r="C316" s="4402"/>
      <c r="D316" s="4402"/>
      <c r="E316" s="4402"/>
      <c r="F316" s="4402"/>
      <c r="G316" s="4402"/>
      <c r="H316" s="4402"/>
      <c r="I316" s="4402"/>
      <c r="J316" s="4402"/>
      <c r="K316" s="4402"/>
      <c r="L316" s="4402"/>
      <c r="M316" s="4402"/>
      <c r="N316" s="4402"/>
      <c r="O316" s="4402"/>
      <c r="P316" s="4403"/>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3284</v>
      </c>
      <c r="B318" s="83" t="s">
        <v>3255</v>
      </c>
      <c r="C318" s="67"/>
      <c r="D318" s="44"/>
      <c r="E318" s="29"/>
      <c r="G318" s="44"/>
      <c r="I318" s="1535" t="s">
        <v>4145</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4128</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3256</v>
      </c>
      <c r="C320" s="67"/>
      <c r="D320" s="44"/>
      <c r="E320" s="29"/>
      <c r="G320" s="1382"/>
      <c r="I320" s="33" t="s">
        <v>3946</v>
      </c>
      <c r="K320" s="1517">
        <f>'Part VIII Scoring Criteria OLD'!P42</f>
        <v>0</v>
      </c>
      <c r="M320" s="457">
        <v>2</v>
      </c>
      <c r="N320" s="48" t="s">
        <v>1836</v>
      </c>
      <c r="P320" s="415"/>
      <c r="Q320" s="86"/>
      <c r="R320" s="854" t="s">
        <v>2453</v>
      </c>
    </row>
    <row r="321" spans="1:19" s="70" customFormat="1" ht="10.5" customHeight="1">
      <c r="A321" s="674"/>
      <c r="B321" s="306" t="s">
        <v>1839</v>
      </c>
      <c r="C321" s="29" t="s">
        <v>3715</v>
      </c>
      <c r="D321" s="26"/>
      <c r="N321" s="347" t="s">
        <v>3716</v>
      </c>
      <c r="O321" s="175"/>
      <c r="P321" s="418"/>
      <c r="R321" s="307"/>
    </row>
    <row r="322" spans="1:19" s="70" customFormat="1" ht="10.5" customHeight="1">
      <c r="A322" s="674"/>
      <c r="B322" s="306"/>
      <c r="C322" s="29" t="s">
        <v>4470</v>
      </c>
      <c r="D322" s="26"/>
      <c r="N322" s="347" t="s">
        <v>3717</v>
      </c>
      <c r="O322" s="299"/>
      <c r="P322" s="419"/>
      <c r="R322" s="307"/>
    </row>
    <row r="323" spans="1:19" s="70" customFormat="1" ht="10.5" customHeight="1">
      <c r="A323" s="674"/>
      <c r="B323" s="306" t="s">
        <v>1841</v>
      </c>
      <c r="C323" s="29" t="s">
        <v>3261</v>
      </c>
      <c r="D323" s="26"/>
      <c r="N323" s="347" t="s">
        <v>1841</v>
      </c>
      <c r="O323" s="299"/>
      <c r="P323" s="419"/>
      <c r="R323" s="307"/>
    </row>
    <row r="324" spans="1:19" s="70" customFormat="1" ht="10.5" customHeight="1">
      <c r="A324" s="674"/>
      <c r="B324" s="306" t="s">
        <v>2326</v>
      </c>
      <c r="C324" s="29" t="s">
        <v>3718</v>
      </c>
      <c r="D324" s="26"/>
      <c r="N324" s="347" t="s">
        <v>2326</v>
      </c>
      <c r="O324" s="299"/>
      <c r="P324" s="419"/>
      <c r="R324" s="307"/>
    </row>
    <row r="325" spans="1:19" s="70" customFormat="1" ht="10.5" customHeight="1">
      <c r="A325" s="922"/>
      <c r="B325" s="306" t="s">
        <v>1149</v>
      </c>
      <c r="C325" s="29" t="s">
        <v>3262</v>
      </c>
      <c r="D325" s="26"/>
      <c r="N325" s="347" t="s">
        <v>1149</v>
      </c>
      <c r="O325" s="176"/>
      <c r="P325" s="419"/>
      <c r="R325" s="307"/>
    </row>
    <row r="326" spans="1:19" s="36" customFormat="1" ht="12" customHeight="1">
      <c r="A326" s="674" t="s">
        <v>1838</v>
      </c>
      <c r="B326" s="141" t="s">
        <v>3257</v>
      </c>
      <c r="C326" s="67"/>
      <c r="D326" s="44"/>
      <c r="E326" s="29"/>
      <c r="G326" s="1382"/>
      <c r="I326" s="379"/>
      <c r="L326" s="907"/>
      <c r="M326" s="457">
        <v>2</v>
      </c>
      <c r="N326" s="48" t="s">
        <v>1838</v>
      </c>
      <c r="P326" s="415"/>
      <c r="Q326" s="86"/>
      <c r="R326" s="854" t="s">
        <v>2453</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4471</v>
      </c>
      <c r="D328" s="26"/>
      <c r="N328" s="347" t="s">
        <v>3717</v>
      </c>
      <c r="O328" s="299"/>
      <c r="P328" s="419"/>
      <c r="R328" s="307"/>
    </row>
    <row r="329" spans="1:19" s="70" customFormat="1" ht="10.5" customHeight="1">
      <c r="A329" s="107"/>
      <c r="B329" s="306" t="s">
        <v>1841</v>
      </c>
      <c r="C329" s="29" t="s">
        <v>3273</v>
      </c>
      <c r="D329" s="26"/>
      <c r="N329" s="347" t="s">
        <v>1841</v>
      </c>
      <c r="O329" s="299"/>
      <c r="P329" s="419"/>
      <c r="R329" s="307"/>
    </row>
    <row r="330" spans="1:19" s="70" customFormat="1" ht="10.5" customHeight="1">
      <c r="B330" s="306" t="s">
        <v>2326</v>
      </c>
      <c r="C330" s="29" t="s">
        <v>3262</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2"/>
      <c r="B332" s="4143"/>
      <c r="C332" s="4143"/>
      <c r="D332" s="4143"/>
      <c r="E332" s="4143"/>
      <c r="F332" s="4143"/>
      <c r="G332" s="4143"/>
      <c r="H332" s="4143"/>
      <c r="I332" s="4143"/>
      <c r="J332" s="4143"/>
      <c r="K332" s="4143"/>
      <c r="L332" s="4143"/>
      <c r="M332" s="4143"/>
      <c r="N332" s="4143"/>
      <c r="O332" s="4143"/>
      <c r="P332" s="4144"/>
      <c r="Q332" s="353"/>
    </row>
    <row r="333" spans="1:19" ht="2.25" customHeight="1" thickBot="1"/>
    <row r="334" spans="1:19" s="36" customFormat="1" ht="13.5" customHeight="1" thickBot="1">
      <c r="A334" s="121" t="s">
        <v>3285</v>
      </c>
      <c r="B334" s="83" t="s">
        <v>1553</v>
      </c>
      <c r="D334" s="67"/>
      <c r="E334" s="67"/>
      <c r="G334" s="29"/>
      <c r="M334" s="119">
        <v>2</v>
      </c>
      <c r="N334" s="320"/>
      <c r="O334" s="886"/>
      <c r="P334" s="870"/>
      <c r="Q334" s="86" t="s">
        <v>415</v>
      </c>
      <c r="R334" s="1559" t="s">
        <v>3927</v>
      </c>
      <c r="S334" s="1559"/>
    </row>
    <row r="335" spans="1:19" s="36" customFormat="1" ht="11.25" customHeight="1">
      <c r="A335" s="107"/>
      <c r="B335" s="89" t="s">
        <v>3070</v>
      </c>
      <c r="D335" s="67"/>
      <c r="E335" s="67"/>
      <c r="G335" s="29"/>
      <c r="I335" s="3428" t="s">
        <v>3960</v>
      </c>
      <c r="J335" s="3429"/>
      <c r="K335" s="3429"/>
      <c r="L335" s="3430"/>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3157</v>
      </c>
      <c r="C337" s="35"/>
      <c r="D337" s="41"/>
      <c r="E337" s="41"/>
      <c r="F337" s="41"/>
      <c r="G337" s="41"/>
      <c r="H337" s="29"/>
      <c r="I337" s="29"/>
      <c r="J337" s="29"/>
      <c r="K337" s="29"/>
      <c r="M337" s="39"/>
      <c r="N337" s="5"/>
      <c r="O337" s="3"/>
      <c r="P337" s="119"/>
    </row>
    <row r="338" spans="1:20" s="36" customFormat="1" ht="10.9" customHeight="1" thickTop="1" thickBot="1">
      <c r="A338" s="4342"/>
      <c r="B338" s="4343"/>
      <c r="C338" s="4343"/>
      <c r="D338" s="4343"/>
      <c r="E338" s="4343"/>
      <c r="F338" s="4343"/>
      <c r="G338" s="4343"/>
      <c r="H338" s="4343"/>
      <c r="I338" s="4343"/>
      <c r="J338" s="4343"/>
      <c r="K338" s="4343"/>
      <c r="L338" s="4343"/>
      <c r="M338" s="4343"/>
      <c r="N338" s="4343"/>
      <c r="O338" s="4343"/>
      <c r="P338" s="4344"/>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2"/>
      <c r="B340" s="4143"/>
      <c r="C340" s="4143"/>
      <c r="D340" s="4143"/>
      <c r="E340" s="4143"/>
      <c r="F340" s="4143"/>
      <c r="G340" s="4143"/>
      <c r="H340" s="4143"/>
      <c r="I340" s="4143"/>
      <c r="J340" s="4143"/>
      <c r="K340" s="4143"/>
      <c r="L340" s="4143"/>
      <c r="M340" s="4143"/>
      <c r="N340" s="4143"/>
      <c r="O340" s="4143"/>
      <c r="P340" s="4144"/>
      <c r="Q340" s="353"/>
    </row>
    <row r="341" spans="1:20" ht="3" customHeight="1" thickBot="1"/>
    <row r="342" spans="1:20" s="36" customFormat="1" ht="13.5" customHeight="1" thickBot="1">
      <c r="A342" s="120" t="s">
        <v>3288</v>
      </c>
      <c r="B342" s="83" t="s">
        <v>3259</v>
      </c>
      <c r="D342" s="67"/>
      <c r="E342" s="67"/>
      <c r="F342" s="29"/>
      <c r="G342" s="29"/>
      <c r="H342" s="29"/>
      <c r="J342" s="1877" t="s">
        <v>4039</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4492</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498" t="str">
        <f>IF(OR(O344="No",O344="",O345="No",O345="",O346="No",O346="",O347="No",O347=""),"Unmet criterion results in no points!","")</f>
        <v>Unmet criterion results in no points!</v>
      </c>
      <c r="M344" s="4498"/>
      <c r="N344" s="49" t="s">
        <v>2234</v>
      </c>
      <c r="O344" s="175"/>
      <c r="P344" s="418"/>
      <c r="R344" s="4494" t="str">
        <f>IF(OR(P344="No",P344="",P345="No",P345="",P346="No",P346="",P347="No",P347=""),"Unmet criterion results in no points!","")</f>
        <v>Unmet criterion results in no points!</v>
      </c>
      <c r="S344" s="4494" t="e">
        <f>IF(OR(V344="No",V344="",V345="No",V345="",V346="No",V346="",V347="No",V347="",#REF!="No",#REF!="",#REF!="No",#REF!=""),"Unmet criterion results in no points!","")</f>
        <v>#REF!</v>
      </c>
    </row>
    <row r="345" spans="1:20" s="79" customFormat="1" ht="12.75" customHeight="1">
      <c r="B345" s="49" t="s">
        <v>2235</v>
      </c>
      <c r="C345" s="29" t="s">
        <v>3191</v>
      </c>
      <c r="L345" s="4498"/>
      <c r="M345" s="4498"/>
      <c r="N345" s="49" t="s">
        <v>2235</v>
      </c>
      <c r="O345" s="299"/>
      <c r="P345" s="419"/>
      <c r="R345" s="4494"/>
      <c r="S345" s="4494"/>
    </row>
    <row r="346" spans="1:20" s="79" customFormat="1" ht="12.75" customHeight="1">
      <c r="B346" s="49" t="s">
        <v>2236</v>
      </c>
      <c r="C346" s="29" t="s">
        <v>3190</v>
      </c>
      <c r="L346" s="4498"/>
      <c r="M346" s="4498"/>
      <c r="N346" s="49" t="s">
        <v>2236</v>
      </c>
      <c r="O346" s="299"/>
      <c r="P346" s="419"/>
      <c r="R346" s="4494"/>
      <c r="S346" s="4494"/>
    </row>
    <row r="347" spans="1:20" s="79" customFormat="1" ht="33.75" customHeight="1">
      <c r="B347" s="117" t="s">
        <v>2237</v>
      </c>
      <c r="C347" s="4103" t="s">
        <v>4491</v>
      </c>
      <c r="D347" s="4103"/>
      <c r="E347" s="4103"/>
      <c r="F347" s="4103"/>
      <c r="G347" s="4103"/>
      <c r="H347" s="4103"/>
      <c r="I347" s="4103"/>
      <c r="J347" s="4103"/>
      <c r="K347" s="4103"/>
      <c r="L347" s="4103"/>
      <c r="M347" s="4103"/>
      <c r="N347" s="117" t="s">
        <v>2237</v>
      </c>
      <c r="O347" s="883"/>
      <c r="P347" s="882"/>
    </row>
    <row r="348" spans="1:20" ht="3" customHeight="1" thickBot="1">
      <c r="C348" s="4103"/>
      <c r="D348" s="4103"/>
      <c r="E348" s="4103"/>
      <c r="F348" s="4103"/>
      <c r="G348" s="4103"/>
      <c r="H348" s="4103"/>
      <c r="I348" s="4103"/>
      <c r="J348" s="4103"/>
      <c r="K348" s="4103"/>
      <c r="L348" s="4103"/>
      <c r="M348" s="4103"/>
    </row>
    <row r="349" spans="1:20" ht="12.75" customHeight="1" thickBot="1">
      <c r="A349" s="793" t="s">
        <v>1836</v>
      </c>
      <c r="B349" s="141" t="s">
        <v>3260</v>
      </c>
      <c r="L349" s="307" t="str">
        <f>IF(O349&lt;=M349,"","* * Check Score! * *")</f>
        <v/>
      </c>
      <c r="M349" s="457">
        <v>3</v>
      </c>
      <c r="N349" s="48" t="s">
        <v>1836</v>
      </c>
      <c r="O349" s="1538"/>
      <c r="P349" s="1539"/>
      <c r="Q349" s="785" t="str">
        <f>IF(O349&lt;=M349,"","*CHECK!*")</f>
        <v/>
      </c>
      <c r="R349" s="392" t="s">
        <v>3927</v>
      </c>
      <c r="S349" s="392"/>
      <c r="T349" s="1362"/>
    </row>
    <row r="350" spans="1:20" ht="12.75" customHeight="1">
      <c r="A350" s="793"/>
      <c r="B350" s="673" t="s">
        <v>4606</v>
      </c>
      <c r="C350" s="108"/>
      <c r="D350" s="108"/>
      <c r="E350" s="108"/>
      <c r="F350" s="108"/>
      <c r="G350" s="108"/>
      <c r="H350" s="108"/>
      <c r="I350" s="108"/>
      <c r="N350"/>
      <c r="O350" s="1337"/>
      <c r="P350" s="1336"/>
      <c r="R350" s="392"/>
      <c r="S350" s="392"/>
      <c r="T350" s="1362"/>
    </row>
    <row r="351" spans="1:20" ht="12.75" customHeight="1">
      <c r="A351" s="793"/>
      <c r="B351" s="1849" t="s">
        <v>4605</v>
      </c>
      <c r="C351" s="108"/>
      <c r="D351" s="108"/>
      <c r="E351" s="108"/>
      <c r="F351" s="108"/>
      <c r="G351" s="108"/>
      <c r="H351" s="108"/>
      <c r="I351" s="108"/>
      <c r="J351" s="4443" t="s">
        <v>1843</v>
      </c>
      <c r="K351" s="4443"/>
      <c r="M351" s="4443" t="s">
        <v>1843</v>
      </c>
      <c r="N351" s="4443"/>
      <c r="O351" s="4443"/>
      <c r="P351" s="4443"/>
      <c r="R351" s="1746"/>
      <c r="S351" s="1746"/>
      <c r="T351" s="1362"/>
    </row>
    <row r="352" spans="1:20" s="36" customFormat="1" ht="12.75" customHeight="1">
      <c r="A352" s="151"/>
      <c r="B352" s="150" t="s">
        <v>4493</v>
      </c>
      <c r="C352" s="29" t="s">
        <v>1386</v>
      </c>
      <c r="I352" s="49" t="s">
        <v>2234</v>
      </c>
      <c r="J352" s="4433"/>
      <c r="K352" s="4434"/>
      <c r="L352" s="49" t="s">
        <v>2234</v>
      </c>
      <c r="M352" s="4537"/>
      <c r="N352" s="4538"/>
      <c r="O352" s="4538"/>
      <c r="P352" s="4539"/>
      <c r="R352" s="307"/>
    </row>
    <row r="353" spans="1:18" ht="12.75" customHeight="1">
      <c r="A353" s="152"/>
      <c r="B353" s="117" t="s">
        <v>2235</v>
      </c>
      <c r="C353" s="29" t="s">
        <v>3072</v>
      </c>
      <c r="I353" s="117" t="s">
        <v>2235</v>
      </c>
      <c r="J353" s="4438"/>
      <c r="K353" s="4439"/>
      <c r="L353" s="117" t="s">
        <v>2235</v>
      </c>
      <c r="M353" s="4440"/>
      <c r="N353" s="4441"/>
      <c r="O353" s="4441"/>
      <c r="P353" s="4442"/>
      <c r="R353" s="307"/>
    </row>
    <row r="354" spans="1:18" ht="12.75" customHeight="1">
      <c r="B354" s="49" t="s">
        <v>2236</v>
      </c>
      <c r="C354" s="29" t="s">
        <v>3828</v>
      </c>
      <c r="I354" s="49" t="s">
        <v>2236</v>
      </c>
      <c r="J354" s="4438"/>
      <c r="K354" s="4439"/>
      <c r="L354" s="49" t="s">
        <v>2236</v>
      </c>
      <c r="M354" s="4440"/>
      <c r="N354" s="4441"/>
      <c r="O354" s="4441"/>
      <c r="P354" s="4442"/>
      <c r="R354" s="307"/>
    </row>
    <row r="355" spans="1:18" ht="12.75" customHeight="1">
      <c r="A355" s="152"/>
      <c r="B355" s="49" t="s">
        <v>2237</v>
      </c>
      <c r="C355" s="29" t="s">
        <v>2988</v>
      </c>
      <c r="I355" s="49" t="s">
        <v>2237</v>
      </c>
      <c r="J355" s="4438"/>
      <c r="K355" s="4439"/>
      <c r="L355" s="49" t="s">
        <v>2237</v>
      </c>
      <c r="M355" s="4440"/>
      <c r="N355" s="4441"/>
      <c r="O355" s="4441"/>
      <c r="P355" s="4442"/>
      <c r="R355" s="307"/>
    </row>
    <row r="356" spans="1:18" s="36" customFormat="1" ht="12.75" customHeight="1">
      <c r="A356" s="151"/>
      <c r="B356" s="117" t="s">
        <v>2238</v>
      </c>
      <c r="C356" s="29" t="s">
        <v>2467</v>
      </c>
      <c r="I356" s="117" t="s">
        <v>2238</v>
      </c>
      <c r="J356" s="4438"/>
      <c r="K356" s="4439"/>
      <c r="L356" s="117" t="s">
        <v>2238</v>
      </c>
      <c r="M356" s="4440"/>
      <c r="N356" s="4441"/>
      <c r="O356" s="4441"/>
      <c r="P356" s="4442"/>
      <c r="R356" s="307"/>
    </row>
    <row r="357" spans="1:18" ht="12.75" customHeight="1">
      <c r="B357" s="49" t="s">
        <v>2254</v>
      </c>
      <c r="C357" s="29" t="s">
        <v>1385</v>
      </c>
      <c r="I357" s="49" t="s">
        <v>2254</v>
      </c>
      <c r="J357" s="4438"/>
      <c r="K357" s="4439"/>
      <c r="L357" s="49" t="s">
        <v>2254</v>
      </c>
      <c r="M357" s="4440"/>
      <c r="N357" s="4441"/>
      <c r="O357" s="4441"/>
      <c r="P357" s="4442"/>
      <c r="R357" s="307"/>
    </row>
    <row r="358" spans="1:18" ht="12.75" customHeight="1">
      <c r="B358" s="49" t="s">
        <v>2255</v>
      </c>
      <c r="C358" s="29" t="s">
        <v>4129</v>
      </c>
      <c r="I358" s="49" t="s">
        <v>2255</v>
      </c>
      <c r="J358" s="4438"/>
      <c r="K358" s="4439"/>
      <c r="L358" s="49" t="s">
        <v>2255</v>
      </c>
      <c r="M358" s="1513"/>
      <c r="N358" s="1514"/>
      <c r="O358" s="1514"/>
      <c r="P358" s="1515"/>
      <c r="R358" s="307"/>
    </row>
    <row r="359" spans="1:18" ht="12.75" customHeight="1">
      <c r="A359" s="152"/>
      <c r="B359" s="48" t="s">
        <v>2256</v>
      </c>
      <c r="C359" s="29" t="s">
        <v>3071</v>
      </c>
      <c r="I359" s="48" t="s">
        <v>2256</v>
      </c>
      <c r="J359" s="4438"/>
      <c r="K359" s="4439"/>
      <c r="L359" s="48" t="s">
        <v>2256</v>
      </c>
      <c r="M359" s="4440"/>
      <c r="N359" s="4441"/>
      <c r="O359" s="4441"/>
      <c r="P359" s="4442"/>
      <c r="R359" s="307"/>
    </row>
    <row r="360" spans="1:18" ht="12.75" customHeight="1">
      <c r="B360" s="48" t="s">
        <v>2257</v>
      </c>
      <c r="C360" s="29" t="s">
        <v>4494</v>
      </c>
      <c r="I360" s="48" t="s">
        <v>2257</v>
      </c>
      <c r="J360" s="4438"/>
      <c r="K360" s="4439"/>
      <c r="L360" s="48" t="s">
        <v>2257</v>
      </c>
      <c r="M360" s="4440"/>
      <c r="N360" s="4441"/>
      <c r="O360" s="4441"/>
      <c r="P360" s="4442"/>
      <c r="R360" s="307"/>
    </row>
    <row r="361" spans="1:18" ht="12.75" customHeight="1">
      <c r="B361" s="48" t="s">
        <v>3073</v>
      </c>
      <c r="C361" s="29" t="s">
        <v>3701</v>
      </c>
      <c r="I361" s="48" t="s">
        <v>3073</v>
      </c>
      <c r="J361" s="4438"/>
      <c r="K361" s="4439"/>
      <c r="L361" s="48" t="s">
        <v>3073</v>
      </c>
      <c r="M361" s="4440"/>
      <c r="N361" s="4441"/>
      <c r="O361" s="4441"/>
      <c r="P361" s="4442"/>
      <c r="R361" s="307"/>
    </row>
    <row r="362" spans="1:18" ht="12.75" customHeight="1" thickBot="1">
      <c r="B362" s="48" t="s">
        <v>4130</v>
      </c>
      <c r="C362" s="29" t="s">
        <v>4131</v>
      </c>
      <c r="I362" s="48" t="s">
        <v>4130</v>
      </c>
      <c r="J362" s="4438"/>
      <c r="K362" s="4439"/>
      <c r="L362" s="48" t="s">
        <v>4130</v>
      </c>
      <c r="M362" s="4528"/>
      <c r="N362" s="4529"/>
      <c r="O362" s="4529"/>
      <c r="P362" s="4530"/>
      <c r="R362" s="307"/>
    </row>
    <row r="363" spans="1:18" ht="12.75" customHeight="1" thickBot="1">
      <c r="B363" s="906" t="s">
        <v>4495</v>
      </c>
      <c r="H363" s="89" t="s">
        <v>2406</v>
      </c>
      <c r="J363" s="4429">
        <f>SUM(J352:K362)</f>
        <v>0</v>
      </c>
      <c r="K363" s="4430"/>
      <c r="M363" s="4429">
        <f>SUM($M352:$M362)</f>
        <v>0</v>
      </c>
      <c r="N363" s="4432"/>
      <c r="O363" s="4432"/>
      <c r="P363" s="4430"/>
      <c r="R363" s="307"/>
    </row>
    <row r="364" spans="1:18" ht="6" customHeight="1">
      <c r="M364" s="392"/>
      <c r="N364" s="392"/>
      <c r="O364" s="115"/>
      <c r="P364" s="392"/>
    </row>
    <row r="365" spans="1:18" s="36" customFormat="1" ht="12" customHeight="1">
      <c r="A365" s="35"/>
      <c r="B365" s="1134" t="s">
        <v>1841</v>
      </c>
      <c r="C365" s="399" t="s">
        <v>2405</v>
      </c>
      <c r="D365" s="230"/>
      <c r="E365" s="230"/>
      <c r="F365" s="33" t="s">
        <v>4132</v>
      </c>
      <c r="H365"/>
      <c r="I365"/>
      <c r="J365" s="4547" t="e">
        <f>#REF!</f>
        <v>#REF!</v>
      </c>
      <c r="K365" s="4548"/>
      <c r="L365" s="429"/>
      <c r="M365" s="392"/>
      <c r="N365" s="392"/>
      <c r="O365" s="868"/>
      <c r="P365" s="392"/>
    </row>
    <row r="366" spans="1:18" ht="13.5" customHeight="1">
      <c r="C366" s="230"/>
      <c r="D366" s="230"/>
      <c r="E366" s="230"/>
      <c r="F366" s="348" t="s">
        <v>4133</v>
      </c>
      <c r="J366" s="4545" t="e">
        <f>IF(J365=0,0,J363/J365)</f>
        <v>#REF!</v>
      </c>
      <c r="K366" s="4546"/>
      <c r="M366" s="4435" t="e">
        <f>IF($J365=0,0,$M363/$J365)</f>
        <v>#REF!</v>
      </c>
      <c r="N366" s="4436"/>
      <c r="O366" s="4436"/>
      <c r="P366" s="4437"/>
    </row>
    <row r="367" spans="1:18" s="36" customFormat="1" ht="12.75" customHeight="1">
      <c r="C367" s="230"/>
      <c r="D367" s="230"/>
      <c r="E367" s="230"/>
      <c r="F367" s="44" t="s">
        <v>4134</v>
      </c>
      <c r="I367"/>
      <c r="J367" s="4519">
        <f>IF(L344="", IF($J366&gt;=30000, 3,IF($J366&gt;=20000, 2,IF($J366&gt;=10000,1,0))),0)</f>
        <v>0</v>
      </c>
      <c r="K367" s="4520"/>
      <c r="L367" s="397"/>
      <c r="M367" s="4519">
        <f>IF(R344="", IF($M366&gt;=30000, 3,IF($M366&gt;=20000, 2,IF($M366&gt;=10000,1,0))),0)</f>
        <v>0</v>
      </c>
      <c r="N367" s="4544"/>
      <c r="O367" s="4544"/>
      <c r="P367" s="4520"/>
    </row>
    <row r="368" spans="1:18" ht="9" customHeight="1" thickBot="1"/>
    <row r="369" spans="1:22" s="70" customFormat="1" ht="12.75" customHeight="1" thickBot="1">
      <c r="A369" s="674" t="s">
        <v>1838</v>
      </c>
      <c r="B369" s="153" t="s">
        <v>3074</v>
      </c>
      <c r="D369" s="32"/>
      <c r="E369" s="29"/>
      <c r="F369" s="119"/>
      <c r="H369" s="29"/>
      <c r="I369" s="119"/>
      <c r="J369" s="33"/>
      <c r="K369" s="33"/>
      <c r="L369" s="307" t="str">
        <f>IF(OR($O369=$M369,$O369=0,$O369=""),"","* * Check Score! * *")</f>
        <v/>
      </c>
      <c r="M369" s="457">
        <v>1</v>
      </c>
      <c r="N369" s="48" t="s">
        <v>1838</v>
      </c>
      <c r="O369" s="886"/>
      <c r="P369" s="870"/>
      <c r="Q369" s="782" t="s">
        <v>3927</v>
      </c>
      <c r="V369" s="832"/>
    </row>
    <row r="370" spans="1:22" s="36" customFormat="1" ht="22.5" customHeight="1">
      <c r="A370" s="107"/>
      <c r="B370" s="349" t="s">
        <v>1839</v>
      </c>
      <c r="C370" s="4103" t="s">
        <v>4496</v>
      </c>
      <c r="D370" s="4103"/>
      <c r="E370" s="4103"/>
      <c r="F370" s="4103"/>
      <c r="G370" s="4103"/>
      <c r="H370" s="4103"/>
      <c r="I370" s="4103"/>
      <c r="J370" s="4103"/>
      <c r="K370" s="4103"/>
      <c r="L370" s="4103"/>
      <c r="M370" s="4103"/>
      <c r="N370" s="373" t="s">
        <v>1839</v>
      </c>
      <c r="O370" s="825"/>
      <c r="P370" s="1502"/>
      <c r="V370" s="832"/>
    </row>
    <row r="371" spans="1:22" s="36" customFormat="1" ht="12.75" customHeight="1">
      <c r="A371" s="107"/>
      <c r="B371" s="306" t="s">
        <v>1841</v>
      </c>
      <c r="C371" s="29" t="s">
        <v>3185</v>
      </c>
      <c r="D371" s="29"/>
      <c r="E371" s="29"/>
      <c r="F371" s="29"/>
      <c r="G371" s="29"/>
      <c r="H371" s="29"/>
      <c r="I371" s="29"/>
      <c r="J371" s="29"/>
      <c r="K371" s="29"/>
      <c r="M371" s="29"/>
      <c r="N371" s="347" t="s">
        <v>1841</v>
      </c>
      <c r="O371" s="299"/>
      <c r="P371" s="419"/>
      <c r="V371" s="832"/>
    </row>
    <row r="372" spans="1:22" ht="12.75" customHeight="1">
      <c r="B372" s="306" t="s">
        <v>2326</v>
      </c>
      <c r="C372" s="44" t="s">
        <v>3702</v>
      </c>
      <c r="N372" s="347" t="s">
        <v>2326</v>
      </c>
      <c r="O372" s="176"/>
      <c r="P372" s="420"/>
    </row>
    <row r="373" spans="1:22" ht="12" customHeight="1" thickBot="1">
      <c r="B373" s="924" t="s">
        <v>3157</v>
      </c>
    </row>
    <row r="374" spans="1:22" s="36" customFormat="1" ht="21.75" customHeight="1" thickTop="1" thickBot="1">
      <c r="A374" s="4342"/>
      <c r="B374" s="4343"/>
      <c r="C374" s="4343"/>
      <c r="D374" s="4343"/>
      <c r="E374" s="4343"/>
      <c r="F374" s="4343"/>
      <c r="G374" s="4343"/>
      <c r="H374" s="4343"/>
      <c r="I374" s="4343"/>
      <c r="J374" s="4343"/>
      <c r="K374" s="4343"/>
      <c r="L374" s="4343"/>
      <c r="M374" s="4343"/>
      <c r="N374" s="4343"/>
      <c r="O374" s="4343"/>
      <c r="P374" s="4344"/>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2"/>
      <c r="B376" s="4143"/>
      <c r="C376" s="4143"/>
      <c r="D376" s="4143"/>
      <c r="E376" s="4143"/>
      <c r="F376" s="4143"/>
      <c r="G376" s="4143"/>
      <c r="H376" s="4143"/>
      <c r="I376" s="4143"/>
      <c r="J376" s="4143"/>
      <c r="K376" s="4143"/>
      <c r="L376" s="4143"/>
      <c r="M376" s="4143"/>
      <c r="N376" s="4143"/>
      <c r="O376" s="4143"/>
      <c r="P376" s="4144"/>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3289</v>
      </c>
      <c r="B378" s="83" t="s">
        <v>2463</v>
      </c>
      <c r="D378" s="33"/>
      <c r="G378" s="46" t="s">
        <v>3985</v>
      </c>
      <c r="I378" s="1463" t="s">
        <v>4145</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2989</v>
      </c>
      <c r="D380" s="3428" t="s">
        <v>3761</v>
      </c>
      <c r="E380" s="3429"/>
      <c r="F380" s="3429"/>
      <c r="G380" s="3429"/>
      <c r="H380" s="3429"/>
      <c r="I380" s="3430"/>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3829</v>
      </c>
      <c r="C382" s="108"/>
      <c r="D382" s="108"/>
      <c r="E382" s="108"/>
      <c r="F382" s="108"/>
      <c r="G382" s="108"/>
      <c r="H382" s="108"/>
      <c r="I382" s="108"/>
      <c r="M382" s="1758">
        <v>2</v>
      </c>
      <c r="N382" s="128" t="s">
        <v>1836</v>
      </c>
      <c r="O382" s="458"/>
      <c r="P382" s="1019"/>
      <c r="Q382" s="785" t="str">
        <f>IF(OR($O382=$M382,$O382=0,$O382=""),"","*CHECK!*")</f>
        <v/>
      </c>
      <c r="R382" s="782" t="s">
        <v>3927</v>
      </c>
    </row>
    <row r="383" spans="1:22" s="331" customFormat="1" ht="12" customHeight="1">
      <c r="A383" s="330"/>
      <c r="B383" s="4125" t="s">
        <v>4497</v>
      </c>
      <c r="C383" s="4125"/>
      <c r="D383" s="4125"/>
      <c r="E383" s="4125"/>
      <c r="F383" s="4125"/>
      <c r="G383" s="4125"/>
      <c r="H383" s="4125"/>
      <c r="I383" s="4125"/>
      <c r="J383" s="4125"/>
      <c r="K383" s="4125"/>
      <c r="L383" s="4125"/>
      <c r="M383" s="4527" t="s">
        <v>3762</v>
      </c>
      <c r="N383" s="4527"/>
      <c r="Q383" s="147"/>
    </row>
    <row r="384" spans="1:22" s="331" customFormat="1" ht="12" customHeight="1">
      <c r="B384" s="4125"/>
      <c r="C384" s="4125"/>
      <c r="D384" s="4125"/>
      <c r="E384" s="4125"/>
      <c r="F384" s="4125"/>
      <c r="G384" s="4125"/>
      <c r="H384" s="4125"/>
      <c r="I384" s="4125"/>
      <c r="J384" s="4125"/>
      <c r="K384" s="4125"/>
      <c r="L384" s="4125"/>
      <c r="M384" s="4527"/>
      <c r="N384" s="4527"/>
      <c r="O384" s="4533" t="e">
        <f>#REF!</f>
        <v>#REF!</v>
      </c>
      <c r="P384" s="4534"/>
      <c r="Q384" s="147"/>
    </row>
    <row r="385" spans="1:19" s="331" customFormat="1" ht="12" customHeight="1">
      <c r="B385" s="4125"/>
      <c r="C385" s="4125"/>
      <c r="D385" s="4125"/>
      <c r="E385" s="4125"/>
      <c r="F385" s="4125"/>
      <c r="G385" s="4125"/>
      <c r="H385" s="4125"/>
      <c r="I385" s="4125"/>
      <c r="J385" s="4125"/>
      <c r="K385" s="4125"/>
      <c r="L385" s="4125"/>
      <c r="M385" s="241" t="s">
        <v>2511</v>
      </c>
      <c r="N385" s="332"/>
      <c r="O385" s="4531" t="e">
        <f>#REF!</f>
        <v>#REF!</v>
      </c>
      <c r="P385" s="4532"/>
      <c r="Q385" s="147"/>
    </row>
    <row r="386" spans="1:19" s="331" customFormat="1" ht="12" customHeight="1">
      <c r="B386" s="4524"/>
      <c r="C386" s="4524"/>
      <c r="D386" s="4524"/>
      <c r="E386" s="4524"/>
      <c r="F386" s="4524"/>
      <c r="G386" s="4524"/>
      <c r="H386" s="4524"/>
      <c r="I386" s="4524"/>
      <c r="J386" s="4524"/>
      <c r="K386" s="4524"/>
      <c r="L386" s="4524"/>
      <c r="M386" s="1135" t="s">
        <v>2512</v>
      </c>
      <c r="N386" s="332"/>
      <c r="O386" s="4525" t="e">
        <f>IF(O385=0,0,O384/O385)</f>
        <v>#REF!</v>
      </c>
      <c r="P386" s="4526"/>
      <c r="Q386" s="147"/>
    </row>
    <row r="387" spans="1:19" s="36" customFormat="1" ht="105.75" customHeight="1">
      <c r="A387" s="410"/>
      <c r="B387" s="4154" t="s">
        <v>3327</v>
      </c>
      <c r="C387" s="4155"/>
      <c r="D387" s="4155"/>
      <c r="E387" s="4155"/>
      <c r="F387" s="4155"/>
      <c r="G387" s="4155"/>
      <c r="H387" s="4155"/>
      <c r="I387" s="4155"/>
      <c r="J387" s="4155"/>
      <c r="K387" s="4155"/>
      <c r="L387" s="4155"/>
      <c r="M387" s="4155"/>
      <c r="N387" s="4155"/>
      <c r="O387" s="4155"/>
      <c r="P387" s="4156"/>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3326</v>
      </c>
      <c r="B389" s="100" t="s">
        <v>3830</v>
      </c>
      <c r="C389" s="108"/>
      <c r="H389" s="108"/>
      <c r="M389" s="332">
        <v>2</v>
      </c>
      <c r="N389" s="128" t="s">
        <v>1838</v>
      </c>
      <c r="O389" s="458"/>
      <c r="P389" s="1019"/>
      <c r="Q389" s="785" t="str">
        <f>IF(OR($O389=$M389,$O389=0,$O389=""),"","*CHECK!*")</f>
        <v/>
      </c>
      <c r="R389" s="782" t="s">
        <v>3927</v>
      </c>
    </row>
    <row r="390" spans="1:19" s="331" customFormat="1" ht="11.25" customHeight="1">
      <c r="A390" s="411"/>
      <c r="B390" s="108" t="s">
        <v>4498</v>
      </c>
      <c r="C390" s="108"/>
      <c r="D390" s="108"/>
      <c r="E390" s="108"/>
      <c r="F390" s="108"/>
      <c r="G390" s="108"/>
      <c r="H390" s="108"/>
      <c r="I390" s="108"/>
      <c r="J390" s="108"/>
      <c r="K390" s="108"/>
      <c r="L390" s="108"/>
      <c r="Q390" s="147"/>
    </row>
    <row r="391" spans="1:19" s="331" customFormat="1" ht="11.25" customHeight="1">
      <c r="A391" s="411"/>
      <c r="E391" s="1752"/>
      <c r="G391" s="1182" t="s">
        <v>3703</v>
      </c>
      <c r="H391" s="1754" t="e">
        <f>#REF!</f>
        <v>#REF!</v>
      </c>
      <c r="I391" s="934" t="s">
        <v>2511</v>
      </c>
      <c r="J391" s="409" t="e">
        <f>#REF!</f>
        <v>#REF!</v>
      </c>
      <c r="K391" s="1756" t="s">
        <v>2512</v>
      </c>
      <c r="L391" s="1755" t="e">
        <f>IF(J391=0,0,H391/J391)</f>
        <v>#REF!</v>
      </c>
      <c r="N391" s="1753"/>
      <c r="Q391" s="147"/>
    </row>
    <row r="392" spans="1:19" s="36" customFormat="1" ht="11.25" customHeight="1" thickBot="1">
      <c r="A392" s="35"/>
      <c r="B392" s="924" t="s">
        <v>3157</v>
      </c>
      <c r="C392" s="35"/>
      <c r="D392" s="41"/>
      <c r="E392" s="41"/>
      <c r="F392" s="41"/>
      <c r="G392" s="41"/>
      <c r="H392" s="29"/>
      <c r="I392" s="29"/>
      <c r="J392" s="29"/>
      <c r="K392" s="29"/>
      <c r="M392" s="39"/>
      <c r="N392" s="47"/>
      <c r="O392" s="3"/>
      <c r="P392" s="24"/>
    </row>
    <row r="393" spans="1:19" s="36" customFormat="1" ht="73.5" customHeight="1" thickTop="1" thickBot="1">
      <c r="A393" s="4342"/>
      <c r="B393" s="4343"/>
      <c r="C393" s="4343"/>
      <c r="D393" s="4343"/>
      <c r="E393" s="4343"/>
      <c r="F393" s="4343"/>
      <c r="G393" s="4343"/>
      <c r="H393" s="4343"/>
      <c r="I393" s="4343"/>
      <c r="J393" s="4343"/>
      <c r="K393" s="4343"/>
      <c r="L393" s="4343"/>
      <c r="M393" s="4343"/>
      <c r="N393" s="4343"/>
      <c r="O393" s="4343"/>
      <c r="P393" s="4344"/>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42"/>
      <c r="B395" s="4143"/>
      <c r="C395" s="4143"/>
      <c r="D395" s="4143"/>
      <c r="E395" s="4143"/>
      <c r="F395" s="4143"/>
      <c r="G395" s="4143"/>
      <c r="H395" s="4143"/>
      <c r="I395" s="4143"/>
      <c r="J395" s="4143"/>
      <c r="K395" s="4143"/>
      <c r="L395" s="4143"/>
      <c r="M395" s="4143"/>
      <c r="N395" s="4143"/>
      <c r="O395" s="4143"/>
      <c r="P395" s="4144"/>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3290</v>
      </c>
      <c r="B397" s="83" t="s">
        <v>3906</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3094</v>
      </c>
      <c r="D399" s="38"/>
      <c r="E399" s="38"/>
      <c r="F399" s="32"/>
      <c r="G399" s="29"/>
      <c r="I399" s="29"/>
      <c r="J399" s="29"/>
      <c r="K399" s="29"/>
      <c r="L399" s="307"/>
      <c r="M399" s="119"/>
      <c r="N399" s="5"/>
      <c r="O399" s="1781">
        <v>10</v>
      </c>
      <c r="P399" s="1781">
        <v>10</v>
      </c>
      <c r="Q399" s="86"/>
    </row>
    <row r="400" spans="1:19" s="70" customFormat="1" ht="12.75" customHeight="1">
      <c r="A400" s="121"/>
      <c r="B400" s="66" t="s">
        <v>3095</v>
      </c>
      <c r="D400" s="38"/>
      <c r="E400" s="38"/>
      <c r="F400" s="32"/>
      <c r="G400" s="29"/>
      <c r="I400" s="29"/>
      <c r="J400" s="29"/>
      <c r="K400" s="29"/>
      <c r="L400" s="307"/>
      <c r="M400" s="119"/>
      <c r="N400" s="5"/>
      <c r="O400" s="890"/>
      <c r="P400" s="888"/>
      <c r="Q400" s="86"/>
    </row>
    <row r="401" spans="1:21" s="70" customFormat="1" ht="12.75" customHeight="1">
      <c r="A401" s="121"/>
      <c r="B401" s="66" t="s">
        <v>3096</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2"/>
      <c r="B403" s="4143"/>
      <c r="C403" s="4143"/>
      <c r="D403" s="4143"/>
      <c r="E403" s="4143"/>
      <c r="F403" s="4143"/>
      <c r="G403" s="4143"/>
      <c r="H403" s="4143"/>
      <c r="I403" s="4143"/>
      <c r="J403" s="4143"/>
      <c r="K403" s="4143"/>
      <c r="L403" s="4143"/>
      <c r="M403" s="4143"/>
      <c r="N403" s="4143"/>
      <c r="O403" s="4143"/>
      <c r="P403" s="4144"/>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3291</v>
      </c>
      <c r="B405" s="83" t="s">
        <v>4499</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4500</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4501</v>
      </c>
      <c r="C407" s="26"/>
      <c r="D407" s="70"/>
      <c r="E407" s="66"/>
      <c r="F407" s="29"/>
      <c r="G407" s="29"/>
      <c r="H407" s="29"/>
      <c r="I407" s="70"/>
      <c r="J407" s="70"/>
      <c r="K407" s="31"/>
      <c r="L407" s="1880"/>
      <c r="M407" s="457">
        <v>1</v>
      </c>
      <c r="N407" s="1573" t="s">
        <v>1836</v>
      </c>
      <c r="O407" s="1261"/>
      <c r="P407" s="1262"/>
      <c r="Q407" s="785" t="str">
        <f>IF(OR($O407=$M407,$O407=0,$O407=""),"","*CHECK!*")</f>
        <v/>
      </c>
      <c r="R407" s="782" t="s">
        <v>2453</v>
      </c>
    </row>
    <row r="408" spans="1:21" s="108" customFormat="1" ht="12" customHeight="1">
      <c r="A408" s="674" t="s">
        <v>1838</v>
      </c>
      <c r="B408" s="141" t="s">
        <v>4502</v>
      </c>
      <c r="C408" s="103"/>
      <c r="D408" s="103"/>
      <c r="E408" s="103"/>
      <c r="F408" s="103"/>
      <c r="G408" s="29"/>
      <c r="H408" s="103"/>
      <c r="I408" s="103"/>
      <c r="J408" s="103"/>
      <c r="K408" s="103"/>
      <c r="L408" s="103"/>
      <c r="M408" s="457">
        <v>1</v>
      </c>
      <c r="N408" s="1573" t="s">
        <v>1838</v>
      </c>
      <c r="O408" s="405"/>
      <c r="P408" s="413"/>
      <c r="Q408" s="785" t="str">
        <f>IF(OR($O408=$M408,$O408=0,$O408=""),"","*CHECK!*")</f>
        <v/>
      </c>
      <c r="R408" s="782" t="s">
        <v>2453</v>
      </c>
    </row>
    <row r="409" spans="1:21" ht="12" customHeight="1">
      <c r="A409" s="674" t="s">
        <v>697</v>
      </c>
      <c r="B409" s="141" t="s">
        <v>4135</v>
      </c>
      <c r="C409" s="26"/>
      <c r="D409" s="26"/>
      <c r="E409" s="26"/>
      <c r="F409" s="26"/>
      <c r="G409" s="26"/>
      <c r="H409" s="26"/>
      <c r="I409" s="26"/>
      <c r="J409" s="26"/>
      <c r="K409" s="26"/>
      <c r="L409" s="26"/>
      <c r="M409" s="457">
        <v>1</v>
      </c>
      <c r="N409" s="1573" t="s">
        <v>697</v>
      </c>
      <c r="O409" s="1783"/>
      <c r="P409" s="1784"/>
      <c r="Q409" s="785" t="str">
        <f>IF(OR($O409=$M409,$O409=0,$O409=""),"","*CHECK!*")</f>
        <v/>
      </c>
      <c r="R409" s="782" t="s">
        <v>2453</v>
      </c>
      <c r="S409" s="36"/>
      <c r="T409" s="36"/>
      <c r="U409" s="36"/>
    </row>
    <row r="410" spans="1:21" s="72" customFormat="1" ht="12" customHeight="1">
      <c r="A410" s="674" t="s">
        <v>1957</v>
      </c>
      <c r="B410" s="141" t="s">
        <v>4503</v>
      </c>
      <c r="H410" s="29"/>
      <c r="M410" s="457">
        <v>2</v>
      </c>
      <c r="N410" s="1573" t="s">
        <v>1957</v>
      </c>
      <c r="O410" s="891">
        <f>O411-O412</f>
        <v>2</v>
      </c>
      <c r="P410" s="891">
        <f>P411-P412</f>
        <v>2</v>
      </c>
      <c r="Q410" s="785" t="str">
        <f>IF(OR($O410=$M410,$O410=0,$O410=""),"","*CHECK!*")</f>
        <v/>
      </c>
    </row>
    <row r="411" spans="1:21" s="70" customFormat="1" ht="12" customHeight="1">
      <c r="A411" s="121"/>
      <c r="C411" s="66" t="s">
        <v>3094</v>
      </c>
      <c r="D411" s="38"/>
      <c r="E411" s="38"/>
      <c r="I411" s="29"/>
      <c r="J411" s="29"/>
      <c r="K411" s="29"/>
      <c r="L411" s="307"/>
      <c r="M411" s="119"/>
      <c r="N411" s="5"/>
      <c r="O411" s="1852">
        <v>2</v>
      </c>
      <c r="P411" s="1852">
        <v>2</v>
      </c>
      <c r="Q411" s="86"/>
    </row>
    <row r="412" spans="1:21" s="70" customFormat="1" ht="12" customHeight="1">
      <c r="A412" s="121"/>
      <c r="C412" s="66" t="s">
        <v>3095</v>
      </c>
      <c r="D412" s="38"/>
      <c r="E412" s="38"/>
      <c r="F412" s="32"/>
      <c r="G412" s="29"/>
      <c r="I412" s="29"/>
      <c r="J412" s="29"/>
      <c r="K412" s="29"/>
      <c r="L412" s="307"/>
      <c r="M412" s="119"/>
      <c r="N412" s="5"/>
      <c r="O412" s="1782"/>
      <c r="P412" s="652"/>
      <c r="Q412" s="86"/>
      <c r="R412" s="782" t="s">
        <v>2453</v>
      </c>
    </row>
    <row r="413" spans="1:21" s="36" customFormat="1" ht="10.5" customHeight="1" thickBot="1">
      <c r="A413" s="35"/>
      <c r="B413" s="924" t="s">
        <v>3157</v>
      </c>
      <c r="C413" s="35"/>
      <c r="D413" s="41"/>
      <c r="E413" s="41"/>
      <c r="F413" s="41"/>
      <c r="G413" s="41"/>
      <c r="H413" s="29"/>
      <c r="I413" s="29"/>
      <c r="J413" s="29"/>
      <c r="K413" s="29"/>
      <c r="M413" s="39"/>
      <c r="N413" s="47"/>
      <c r="O413" s="3"/>
      <c r="P413" s="24"/>
    </row>
    <row r="414" spans="1:21" s="36" customFormat="1" ht="45.75" customHeight="1" thickTop="1" thickBot="1">
      <c r="A414" s="4342"/>
      <c r="B414" s="4343"/>
      <c r="C414" s="4343"/>
      <c r="D414" s="4343"/>
      <c r="E414" s="4343"/>
      <c r="F414" s="4343"/>
      <c r="G414" s="4343"/>
      <c r="H414" s="4343"/>
      <c r="I414" s="4343"/>
      <c r="J414" s="4343"/>
      <c r="K414" s="4343"/>
      <c r="L414" s="4343"/>
      <c r="M414" s="4343"/>
      <c r="N414" s="4343"/>
      <c r="O414" s="4343"/>
      <c r="P414" s="4344"/>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2"/>
      <c r="B416" s="4143"/>
      <c r="C416" s="4143"/>
      <c r="D416" s="4143"/>
      <c r="E416" s="4143"/>
      <c r="F416" s="4143"/>
      <c r="G416" s="4143"/>
      <c r="H416" s="4143"/>
      <c r="I416" s="4143"/>
      <c r="J416" s="4143"/>
      <c r="K416" s="4143"/>
      <c r="L416" s="4143"/>
      <c r="M416" s="4143"/>
      <c r="N416" s="4143"/>
      <c r="O416" s="4143"/>
      <c r="P416" s="4144"/>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3292</v>
      </c>
      <c r="B418" s="83" t="s">
        <v>4136</v>
      </c>
      <c r="D418" s="38"/>
      <c r="E418" s="38"/>
      <c r="F418" s="32"/>
      <c r="L418" s="785"/>
      <c r="M418" s="119">
        <v>6</v>
      </c>
      <c r="N418" s="5"/>
      <c r="O418" s="886"/>
      <c r="P418" s="870"/>
      <c r="Q418" s="86" t="s">
        <v>415</v>
      </c>
      <c r="R418" s="782" t="s">
        <v>2453</v>
      </c>
    </row>
    <row r="419" spans="1:18" s="36" customFormat="1" ht="10.5" customHeight="1" thickBot="1">
      <c r="A419" s="35"/>
      <c r="B419" s="924" t="s">
        <v>3157</v>
      </c>
      <c r="C419" s="35"/>
      <c r="D419" s="41"/>
      <c r="E419" s="41"/>
      <c r="F419" s="41"/>
      <c r="G419" s="41"/>
      <c r="H419" s="29"/>
      <c r="I419" s="29"/>
      <c r="J419" s="29"/>
      <c r="K419" s="29"/>
      <c r="M419" s="39"/>
      <c r="N419" s="47"/>
      <c r="O419" s="3"/>
      <c r="P419" s="24"/>
    </row>
    <row r="420" spans="1:18" s="36" customFormat="1" ht="45.75" customHeight="1" thickTop="1" thickBot="1">
      <c r="A420" s="4342"/>
      <c r="B420" s="4343"/>
      <c r="C420" s="4343"/>
      <c r="D420" s="4343"/>
      <c r="E420" s="4343"/>
      <c r="F420" s="4343"/>
      <c r="G420" s="4343"/>
      <c r="H420" s="4343"/>
      <c r="I420" s="4343"/>
      <c r="J420" s="4343"/>
      <c r="K420" s="4343"/>
      <c r="L420" s="4343"/>
      <c r="M420" s="4343"/>
      <c r="N420" s="4343"/>
      <c r="O420" s="4343"/>
      <c r="P420" s="4344"/>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42"/>
      <c r="B422" s="4143"/>
      <c r="C422" s="4143"/>
      <c r="D422" s="4143"/>
      <c r="E422" s="4143"/>
      <c r="F422" s="4143"/>
      <c r="G422" s="4143"/>
      <c r="H422" s="4143"/>
      <c r="I422" s="4143"/>
      <c r="J422" s="4143"/>
      <c r="K422" s="4143"/>
      <c r="L422" s="4143"/>
      <c r="M422" s="4143"/>
      <c r="N422" s="4143"/>
      <c r="O422" s="4143"/>
      <c r="P422" s="4144"/>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3293</v>
      </c>
      <c r="B424" s="83" t="s">
        <v>4504</v>
      </c>
      <c r="D424" s="38"/>
      <c r="E424" s="38"/>
      <c r="F424" s="489"/>
      <c r="G424" s="29"/>
      <c r="L424" s="785" t="str">
        <f>IF(OR($O424=$M424,$O424=0,$O424=""),"","*CHECK!*")</f>
        <v/>
      </c>
      <c r="M424" s="119">
        <v>6</v>
      </c>
      <c r="N424" s="5"/>
      <c r="O424" s="5"/>
      <c r="P424" s="870"/>
      <c r="Q424" s="86" t="s">
        <v>415</v>
      </c>
      <c r="R424" s="782" t="s">
        <v>2453</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42"/>
      <c r="B426" s="4143"/>
      <c r="C426" s="4143"/>
      <c r="D426" s="4143"/>
      <c r="E426" s="4143"/>
      <c r="F426" s="4143"/>
      <c r="G426" s="4143"/>
      <c r="H426" s="4143"/>
      <c r="I426" s="4143"/>
      <c r="J426" s="4143"/>
      <c r="K426" s="4143"/>
      <c r="L426" s="4143"/>
      <c r="M426" s="4143"/>
      <c r="N426" s="4143"/>
      <c r="O426" s="4143"/>
      <c r="P426" s="4144"/>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3678</v>
      </c>
      <c r="B428" s="83" t="s">
        <v>4505</v>
      </c>
      <c r="D428" s="38"/>
      <c r="L428" s="785"/>
      <c r="M428" s="119">
        <v>4</v>
      </c>
      <c r="N428" s="5"/>
      <c r="O428" s="886"/>
      <c r="P428" s="870"/>
      <c r="Q428" s="86" t="s">
        <v>415</v>
      </c>
      <c r="R428" s="782" t="s">
        <v>2453</v>
      </c>
    </row>
    <row r="429" spans="1:18" s="36" customFormat="1" ht="10.5" customHeight="1" thickBot="1">
      <c r="A429" s="35"/>
      <c r="B429" s="924" t="s">
        <v>3157</v>
      </c>
      <c r="C429" s="35"/>
      <c r="D429" s="41"/>
      <c r="E429" s="41"/>
      <c r="F429" s="41"/>
      <c r="G429" s="41"/>
      <c r="H429" s="29"/>
      <c r="I429" s="29"/>
      <c r="J429" s="29"/>
      <c r="K429" s="29"/>
      <c r="M429" s="39"/>
      <c r="N429" s="47"/>
      <c r="O429" s="3"/>
      <c r="P429" s="24"/>
    </row>
    <row r="430" spans="1:18" s="36" customFormat="1" ht="45.75" customHeight="1" thickTop="1" thickBot="1">
      <c r="A430" s="4342"/>
      <c r="B430" s="4343"/>
      <c r="C430" s="4343"/>
      <c r="D430" s="4343"/>
      <c r="E430" s="4343"/>
      <c r="F430" s="4343"/>
      <c r="G430" s="4343"/>
      <c r="H430" s="4343"/>
      <c r="I430" s="4343"/>
      <c r="J430" s="4343"/>
      <c r="K430" s="4343"/>
      <c r="L430" s="4343"/>
      <c r="M430" s="4343"/>
      <c r="N430" s="4343"/>
      <c r="O430" s="4343"/>
      <c r="P430" s="4344"/>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42"/>
      <c r="B432" s="4143"/>
      <c r="C432" s="4143"/>
      <c r="D432" s="4143"/>
      <c r="E432" s="4143"/>
      <c r="F432" s="4143"/>
      <c r="G432" s="4143"/>
      <c r="H432" s="4143"/>
      <c r="I432" s="4143"/>
      <c r="J432" s="4143"/>
      <c r="K432" s="4143"/>
      <c r="L432" s="4143"/>
      <c r="M432" s="4143"/>
      <c r="N432" s="4143"/>
      <c r="O432" s="4143"/>
      <c r="P432" s="4144"/>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4450</v>
      </c>
      <c r="B434" s="83" t="s">
        <v>4506</v>
      </c>
      <c r="D434" s="38"/>
      <c r="G434" s="46" t="s">
        <v>3985</v>
      </c>
      <c r="L434" s="785" t="str">
        <f>IF(OR($O434&lt;=$M434,$O434=0,$O434=""),"","*CHECK!*")</f>
        <v/>
      </c>
      <c r="M434" s="119">
        <v>6</v>
      </c>
      <c r="N434" s="5"/>
      <c r="O434" s="855">
        <f>IF(SUM(O435:O436)&gt;$M$434,"Check",SUM(O435:O436))</f>
        <v>0</v>
      </c>
      <c r="P434" s="855">
        <f>IF(SUM(P435:P436)&gt;$M$434,"Check",SUM(P435:P436))</f>
        <v>0</v>
      </c>
      <c r="Q434" s="86" t="s">
        <v>415</v>
      </c>
      <c r="R434" s="782" t="s">
        <v>2453</v>
      </c>
    </row>
    <row r="435" spans="1:27" s="36" customFormat="1" ht="12" customHeight="1">
      <c r="A435" s="674" t="s">
        <v>1836</v>
      </c>
      <c r="B435" s="141" t="s">
        <v>4033</v>
      </c>
      <c r="C435"/>
      <c r="E435" s="67"/>
      <c r="F435" s="29"/>
      <c r="G435" s="29"/>
      <c r="H435" s="29"/>
      <c r="K435" s="31"/>
      <c r="L435" s="45"/>
      <c r="M435" s="457">
        <v>6</v>
      </c>
      <c r="N435" s="1573" t="s">
        <v>1836</v>
      </c>
      <c r="O435" s="1759"/>
      <c r="P435" s="1760"/>
      <c r="Q435" s="785" t="str">
        <f>IF(OR($O435&lt;=$M435,$O435=0,$O435=""),"","*CHECK!*")</f>
        <v/>
      </c>
      <c r="R435" s="782" t="s">
        <v>2453</v>
      </c>
    </row>
    <row r="436" spans="1:27" s="108" customFormat="1" ht="12" customHeight="1">
      <c r="A436" s="1757" t="s">
        <v>1838</v>
      </c>
      <c r="B436" s="884" t="s">
        <v>4034</v>
      </c>
      <c r="C436" s="456"/>
      <c r="D436" s="456"/>
      <c r="E436" s="456"/>
      <c r="F436" s="456"/>
      <c r="H436" s="456"/>
      <c r="I436" s="456"/>
      <c r="J436" s="103"/>
      <c r="K436" s="103"/>
      <c r="L436" s="103"/>
      <c r="M436" s="457">
        <v>4</v>
      </c>
      <c r="N436" s="1573" t="s">
        <v>1838</v>
      </c>
      <c r="O436" s="406"/>
      <c r="P436" s="414"/>
      <c r="Q436" s="785" t="str">
        <f>IF(OR($O436&lt;=$M436,$O436=0,$O436=""),"","*CHECK!*")</f>
        <v/>
      </c>
      <c r="R436" s="782" t="s">
        <v>2453</v>
      </c>
    </row>
    <row r="437" spans="1:27" s="36" customFormat="1" ht="10.5" customHeight="1" thickBot="1">
      <c r="A437" s="35"/>
      <c r="B437" s="924" t="s">
        <v>3157</v>
      </c>
      <c r="C437" s="35"/>
      <c r="D437" s="41"/>
      <c r="E437" s="41"/>
      <c r="F437" s="41"/>
      <c r="G437" s="41"/>
      <c r="H437" s="29"/>
      <c r="I437" s="29"/>
      <c r="J437" s="29"/>
      <c r="K437" s="29"/>
      <c r="M437" s="39"/>
      <c r="N437" s="47"/>
      <c r="O437" s="3"/>
      <c r="P437" s="24"/>
    </row>
    <row r="438" spans="1:27" s="36" customFormat="1" ht="45.75" customHeight="1" thickTop="1" thickBot="1">
      <c r="A438" s="4342"/>
      <c r="B438" s="4343"/>
      <c r="C438" s="4343"/>
      <c r="D438" s="4343"/>
      <c r="E438" s="4343"/>
      <c r="F438" s="4343"/>
      <c r="G438" s="4343"/>
      <c r="H438" s="4343"/>
      <c r="I438" s="4343"/>
      <c r="J438" s="4343"/>
      <c r="K438" s="4343"/>
      <c r="L438" s="4343"/>
      <c r="M438" s="4343"/>
      <c r="N438" s="4343"/>
      <c r="O438" s="4343"/>
      <c r="P438" s="4344"/>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2"/>
      <c r="B440" s="4143"/>
      <c r="C440" s="4143"/>
      <c r="D440" s="4143"/>
      <c r="E440" s="4143"/>
      <c r="F440" s="4143"/>
      <c r="G440" s="4143"/>
      <c r="H440" s="4143"/>
      <c r="I440" s="4143"/>
      <c r="J440" s="4143"/>
      <c r="K440" s="4143"/>
      <c r="L440" s="4143"/>
      <c r="M440" s="4143"/>
      <c r="N440" s="4143"/>
      <c r="O440" s="4143"/>
      <c r="P440" s="4144"/>
      <c r="Q440" s="354"/>
      <c r="R440" s="354"/>
    </row>
    <row r="441" spans="1:27" ht="13.5" customHeight="1" thickBot="1">
      <c r="Q441" s="4626" t="s">
        <v>4635</v>
      </c>
      <c r="R441" s="4626"/>
      <c r="S441" s="4626"/>
      <c r="T441" s="4626"/>
      <c r="U441" s="4626"/>
      <c r="V441" s="4626"/>
      <c r="W441" s="4626"/>
      <c r="X441" s="4626"/>
      <c r="Y441" s="4626"/>
      <c r="Z441" s="4626"/>
      <c r="AA441" s="4626"/>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6"/>
      <c r="R442" s="4626"/>
      <c r="S442" s="4626"/>
      <c r="T442" s="4626"/>
      <c r="U442" s="4626"/>
      <c r="V442" s="4626"/>
      <c r="W442" s="4626"/>
      <c r="X442" s="4626"/>
      <c r="Y442" s="4626"/>
      <c r="Z442" s="4626"/>
      <c r="AA442" s="4626"/>
    </row>
    <row r="443" spans="1:27" s="36" customFormat="1" ht="15.75" thickTop="1">
      <c r="A443" s="35"/>
      <c r="C443" s="874"/>
      <c r="D443" s="874"/>
      <c r="E443" s="874"/>
      <c r="F443" s="874"/>
      <c r="G443" s="874"/>
      <c r="H443" s="874"/>
      <c r="I443" s="874"/>
      <c r="J443" s="874"/>
      <c r="K443" s="874"/>
      <c r="L443" s="874"/>
      <c r="M443" s="874"/>
      <c r="N443" s="874"/>
      <c r="O443" s="874"/>
      <c r="P443" s="874"/>
      <c r="Q443" s="4626"/>
      <c r="R443" s="4626"/>
      <c r="S443" s="4626"/>
      <c r="T443" s="4626"/>
      <c r="U443" s="4626"/>
      <c r="V443" s="4626"/>
      <c r="W443" s="4626"/>
      <c r="X443" s="4626"/>
      <c r="Y443" s="4626"/>
      <c r="Z443" s="4626"/>
      <c r="AA443" s="4626"/>
    </row>
    <row r="444" spans="1:27" s="115" customFormat="1" ht="6.75" customHeight="1">
      <c r="A444" s="36"/>
      <c r="B444" s="50"/>
      <c r="C444" s="36"/>
      <c r="F444" s="33"/>
      <c r="G444" s="33"/>
      <c r="H444" s="51"/>
      <c r="I444" s="51"/>
      <c r="L444" s="36"/>
      <c r="N444" s="119"/>
      <c r="O444" s="119"/>
      <c r="P444" s="3"/>
      <c r="Q444" s="4626"/>
      <c r="R444" s="4626"/>
      <c r="S444" s="4626"/>
      <c r="T444" s="4626"/>
      <c r="U444" s="4626"/>
      <c r="V444" s="4626"/>
      <c r="W444" s="4626"/>
      <c r="X444" s="4626"/>
      <c r="Y444" s="4626"/>
      <c r="Z444" s="4626"/>
      <c r="AA444" s="4626"/>
    </row>
    <row r="445" spans="1:27" s="36" customFormat="1" ht="22.5" customHeight="1">
      <c r="A445" s="4431" t="s">
        <v>4590</v>
      </c>
      <c r="B445" s="4431"/>
      <c r="C445" s="4431"/>
      <c r="D445" s="4431"/>
      <c r="E445" s="4431"/>
      <c r="F445" s="4431"/>
      <c r="G445" s="4431"/>
      <c r="H445" s="4431"/>
      <c r="I445" s="4431"/>
      <c r="J445" s="4431"/>
      <c r="K445" s="4431"/>
      <c r="L445" s="4431"/>
      <c r="M445" s="4431"/>
      <c r="N445" s="4431"/>
      <c r="O445" s="4431"/>
      <c r="P445" s="4431"/>
      <c r="Q445" s="4626"/>
      <c r="R445" s="4626"/>
      <c r="S445" s="4626"/>
      <c r="T445" s="4626"/>
      <c r="U445" s="4626"/>
      <c r="V445" s="4626"/>
      <c r="W445" s="4626"/>
      <c r="X445" s="4626"/>
      <c r="Y445" s="4626"/>
      <c r="Z445" s="4626"/>
      <c r="AA445" s="4626"/>
    </row>
    <row r="446" spans="1:27" s="36" customFormat="1" ht="409.15" customHeight="1">
      <c r="A446" s="4117"/>
      <c r="B446" s="4118"/>
      <c r="C446" s="4118"/>
      <c r="D446" s="4118"/>
      <c r="E446" s="4118"/>
      <c r="F446" s="4118"/>
      <c r="G446" s="4118"/>
      <c r="H446" s="4118"/>
      <c r="I446" s="4118"/>
      <c r="J446" s="4118"/>
      <c r="K446" s="4118"/>
      <c r="L446" s="4118"/>
      <c r="M446" s="4118"/>
      <c r="N446" s="4118"/>
      <c r="O446" s="4118"/>
      <c r="P446" s="4119"/>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2955</v>
      </c>
      <c r="K462" s="68"/>
      <c r="L462" s="68"/>
      <c r="M462" s="68"/>
      <c r="N462" s="869"/>
      <c r="O462" s="2039" t="s">
        <v>3168</v>
      </c>
      <c r="P462" s="2038"/>
      <c r="Q462" s="68"/>
    </row>
    <row r="463" spans="3:17" s="115" customFormat="1">
      <c r="C463" s="1342" t="s">
        <v>1309</v>
      </c>
      <c r="D463" s="68"/>
      <c r="E463" s="68"/>
      <c r="F463" s="68"/>
      <c r="G463" s="68"/>
      <c r="H463" s="68"/>
      <c r="I463" s="68"/>
      <c r="J463" s="379" t="s">
        <v>2956</v>
      </c>
      <c r="K463" s="68"/>
      <c r="L463" s="68"/>
      <c r="M463" s="68"/>
      <c r="N463" s="869"/>
      <c r="O463" s="2038"/>
      <c r="P463" s="2038"/>
      <c r="Q463" s="68"/>
    </row>
    <row r="464" spans="3:17" s="115" customFormat="1">
      <c r="C464" s="1342" t="s">
        <v>2103</v>
      </c>
      <c r="D464" s="68"/>
      <c r="E464" s="68"/>
      <c r="F464" s="68"/>
      <c r="G464" s="68"/>
      <c r="H464" s="68"/>
      <c r="I464" s="68"/>
      <c r="J464" s="68" t="s">
        <v>2940</v>
      </c>
      <c r="K464" s="68"/>
      <c r="L464" s="68"/>
      <c r="M464" s="68"/>
      <c r="N464" s="869"/>
      <c r="O464" s="2038">
        <v>2</v>
      </c>
      <c r="P464" s="2038"/>
      <c r="Q464" s="68"/>
    </row>
    <row r="465" spans="1:17" s="115" customFormat="1">
      <c r="C465" s="68"/>
      <c r="D465" s="68"/>
      <c r="E465" s="68"/>
      <c r="F465" s="68"/>
      <c r="G465" s="68"/>
      <c r="H465" s="68"/>
      <c r="I465" s="68"/>
      <c r="J465" s="68" t="s">
        <v>2941</v>
      </c>
      <c r="K465" s="68"/>
      <c r="L465" s="68"/>
      <c r="M465" s="68"/>
      <c r="N465" s="869"/>
      <c r="O465" s="2038">
        <v>2</v>
      </c>
      <c r="P465" s="2038"/>
      <c r="Q465" s="68"/>
    </row>
    <row r="466" spans="1:17" s="115" customFormat="1">
      <c r="C466" s="68"/>
      <c r="D466" s="68"/>
      <c r="E466" s="68"/>
      <c r="F466" s="68"/>
      <c r="G466" s="4428" t="s">
        <v>1405</v>
      </c>
      <c r="H466" s="4428"/>
      <c r="I466" s="4428"/>
      <c r="J466" s="68" t="s">
        <v>2942</v>
      </c>
      <c r="K466" s="68"/>
      <c r="L466" s="68"/>
      <c r="M466" s="68"/>
      <c r="N466" s="869"/>
      <c r="O466" s="2038">
        <v>2</v>
      </c>
      <c r="P466" s="2038"/>
      <c r="Q466" s="68"/>
    </row>
    <row r="467" spans="1:17" s="115" customFormat="1">
      <c r="C467" s="68"/>
      <c r="D467" s="68"/>
      <c r="E467" s="68"/>
      <c r="F467" s="68"/>
      <c r="G467" s="1758" t="s">
        <v>3932</v>
      </c>
      <c r="H467" s="68" t="s">
        <v>3933</v>
      </c>
      <c r="I467" s="1758" t="s">
        <v>3931</v>
      </c>
      <c r="J467" s="68" t="s">
        <v>2943</v>
      </c>
      <c r="K467" s="68"/>
      <c r="L467" s="1758"/>
      <c r="M467" s="68"/>
      <c r="N467" s="869"/>
      <c r="O467" s="2038">
        <v>2</v>
      </c>
      <c r="P467" s="2038"/>
      <c r="Q467" s="68"/>
    </row>
    <row r="468" spans="1:17" s="115" customFormat="1">
      <c r="C468" s="502"/>
      <c r="D468" s="68"/>
      <c r="E468" s="68"/>
      <c r="F468" s="68"/>
      <c r="G468" s="1423" t="s">
        <v>2314</v>
      </c>
      <c r="H468" s="68"/>
      <c r="I468" s="1423"/>
      <c r="J468" s="68" t="s">
        <v>3166</v>
      </c>
      <c r="K468" s="68"/>
      <c r="L468" s="1423"/>
      <c r="M468" s="68"/>
      <c r="N468" s="869"/>
      <c r="O468" s="2038">
        <v>2</v>
      </c>
      <c r="P468" s="2038"/>
      <c r="Q468" s="68"/>
    </row>
    <row r="469" spans="1:17" s="115" customFormat="1">
      <c r="C469" s="502"/>
      <c r="D469" s="68"/>
      <c r="E469" s="68"/>
      <c r="F469" s="68"/>
      <c r="G469" s="1423" t="s">
        <v>435</v>
      </c>
      <c r="H469" s="869" t="s">
        <v>3935</v>
      </c>
      <c r="I469" s="1758" t="s">
        <v>2447</v>
      </c>
      <c r="J469" s="68" t="s">
        <v>2944</v>
      </c>
      <c r="K469" s="68"/>
      <c r="L469" s="502"/>
      <c r="M469" s="68"/>
      <c r="N469" s="869"/>
      <c r="O469" s="2038">
        <v>1</v>
      </c>
      <c r="P469" s="2038"/>
      <c r="Q469" s="68"/>
    </row>
    <row r="470" spans="1:17" s="115" customFormat="1">
      <c r="C470" s="502"/>
      <c r="D470" s="68"/>
      <c r="E470" s="68"/>
      <c r="F470" s="68"/>
      <c r="G470" s="1423" t="s">
        <v>1652</v>
      </c>
      <c r="H470" s="869">
        <v>2020</v>
      </c>
      <c r="I470" s="869" t="s">
        <v>3934</v>
      </c>
      <c r="J470" s="68" t="s">
        <v>2945</v>
      </c>
      <c r="K470" s="68"/>
      <c r="L470" s="502"/>
      <c r="M470" s="68"/>
      <c r="N470" s="869"/>
      <c r="O470" s="2038">
        <v>1</v>
      </c>
      <c r="P470" s="2038"/>
      <c r="Q470" s="68"/>
    </row>
    <row r="471" spans="1:17" s="115" customFormat="1">
      <c r="C471" s="502"/>
      <c r="D471" s="68"/>
      <c r="E471" s="68"/>
      <c r="F471" s="68"/>
      <c r="G471" s="1423" t="s">
        <v>2345</v>
      </c>
      <c r="H471" s="869" t="s">
        <v>1607</v>
      </c>
      <c r="I471" s="1758" t="s">
        <v>2447</v>
      </c>
      <c r="J471" s="68" t="s">
        <v>2946</v>
      </c>
      <c r="K471" s="68"/>
      <c r="L471" s="502"/>
      <c r="M471" s="68"/>
      <c r="N471" s="869"/>
      <c r="O471" s="2038">
        <v>1</v>
      </c>
      <c r="P471" s="2038"/>
      <c r="Q471" s="68"/>
    </row>
    <row r="472" spans="1:17" s="115" customFormat="1">
      <c r="C472" s="502"/>
      <c r="D472" s="68"/>
      <c r="E472" s="68"/>
      <c r="F472" s="68"/>
      <c r="G472" s="1423" t="s">
        <v>970</v>
      </c>
      <c r="H472" s="869">
        <v>2020</v>
      </c>
      <c r="I472" s="869" t="s">
        <v>3934</v>
      </c>
      <c r="J472" s="68" t="s">
        <v>3167</v>
      </c>
      <c r="K472" s="68"/>
      <c r="L472" s="502"/>
      <c r="M472" s="68"/>
      <c r="N472" s="869"/>
      <c r="O472" s="2038">
        <v>1</v>
      </c>
      <c r="P472" s="2038"/>
      <c r="Q472" s="68"/>
    </row>
    <row r="473" spans="1:17" s="115" customFormat="1">
      <c r="C473" s="502"/>
      <c r="D473" s="68"/>
      <c r="E473" s="68"/>
      <c r="F473" s="68"/>
      <c r="G473" s="1423" t="s">
        <v>3189</v>
      </c>
      <c r="H473" s="869">
        <v>2019</v>
      </c>
      <c r="I473" s="869" t="s">
        <v>3934</v>
      </c>
      <c r="J473" s="68" t="s">
        <v>2954</v>
      </c>
      <c r="K473" s="68"/>
      <c r="L473" s="502"/>
      <c r="M473" s="68"/>
      <c r="N473" s="869"/>
      <c r="O473" s="2038">
        <v>1</v>
      </c>
      <c r="P473" s="2038"/>
      <c r="Q473" s="68"/>
    </row>
    <row r="474" spans="1:17" s="115" customFormat="1">
      <c r="C474" s="502"/>
      <c r="D474" s="68"/>
      <c r="E474" s="68"/>
      <c r="F474" s="68"/>
      <c r="G474" s="1423" t="s">
        <v>340</v>
      </c>
      <c r="H474" s="869" t="s">
        <v>1607</v>
      </c>
      <c r="I474" s="1758" t="s">
        <v>2447</v>
      </c>
      <c r="J474" s="68" t="s">
        <v>2947</v>
      </c>
      <c r="K474" s="68"/>
      <c r="L474" s="502"/>
      <c r="M474" s="68"/>
      <c r="N474" s="869"/>
      <c r="O474" s="2038">
        <v>1</v>
      </c>
      <c r="P474" s="2038"/>
      <c r="Q474" s="68"/>
    </row>
    <row r="475" spans="1:17" s="115" customFormat="1">
      <c r="C475" s="502"/>
      <c r="D475" s="68"/>
      <c r="E475" s="68"/>
      <c r="F475" s="68"/>
      <c r="G475" s="1423" t="s">
        <v>1630</v>
      </c>
      <c r="H475" s="869">
        <v>2020</v>
      </c>
      <c r="I475" s="869" t="s">
        <v>3934</v>
      </c>
      <c r="J475" s="68" t="s">
        <v>2948</v>
      </c>
      <c r="K475" s="68"/>
      <c r="L475" s="502"/>
      <c r="M475" s="68"/>
      <c r="N475" s="869"/>
      <c r="O475" s="2038">
        <v>1</v>
      </c>
      <c r="P475" s="2038"/>
      <c r="Q475" s="68"/>
    </row>
    <row r="476" spans="1:17" s="115" customFormat="1">
      <c r="C476" s="502"/>
      <c r="D476" s="68"/>
      <c r="E476" s="68"/>
      <c r="F476" s="68"/>
      <c r="G476" s="1423" t="s">
        <v>1904</v>
      </c>
      <c r="H476" s="869" t="s">
        <v>3935</v>
      </c>
      <c r="I476" s="1758" t="s">
        <v>2447</v>
      </c>
      <c r="J476" s="68" t="s">
        <v>2949</v>
      </c>
      <c r="K476" s="68"/>
      <c r="L476" s="502"/>
      <c r="M476" s="68"/>
      <c r="N476" s="869"/>
      <c r="O476" s="2038">
        <v>1</v>
      </c>
      <c r="P476" s="2038"/>
      <c r="Q476" s="68"/>
    </row>
    <row r="477" spans="1:17" s="115" customFormat="1">
      <c r="C477" s="68"/>
      <c r="D477" s="68"/>
      <c r="E477" s="68"/>
      <c r="F477" s="68"/>
      <c r="G477" s="1423" t="s">
        <v>82</v>
      </c>
      <c r="H477" s="869" t="s">
        <v>3935</v>
      </c>
      <c r="I477" s="1758" t="s">
        <v>2447</v>
      </c>
      <c r="J477" s="68" t="s">
        <v>2950</v>
      </c>
      <c r="K477" s="68"/>
      <c r="L477" s="502"/>
      <c r="M477" s="68"/>
      <c r="N477" s="869"/>
      <c r="O477" s="2038">
        <v>1</v>
      </c>
      <c r="P477" s="2038"/>
      <c r="Q477" s="68"/>
    </row>
    <row r="478" spans="1:17" s="115" customFormat="1">
      <c r="C478" s="68"/>
      <c r="D478" s="68"/>
      <c r="E478" s="68"/>
      <c r="F478" s="68"/>
      <c r="G478" s="1423" t="s">
        <v>836</v>
      </c>
      <c r="H478" s="869">
        <v>2019</v>
      </c>
      <c r="I478" s="869" t="s">
        <v>3934</v>
      </c>
      <c r="J478" s="68" t="s">
        <v>2953</v>
      </c>
      <c r="K478" s="68"/>
      <c r="L478" s="502"/>
      <c r="M478" s="68"/>
      <c r="N478" s="869"/>
      <c r="O478" s="2038">
        <v>1</v>
      </c>
      <c r="P478" s="2038"/>
      <c r="Q478" s="68"/>
    </row>
    <row r="479" spans="1:17" s="115" customFormat="1">
      <c r="A479" s="44" t="s">
        <v>2492</v>
      </c>
      <c r="C479" s="68"/>
      <c r="D479" s="68"/>
      <c r="E479" s="68"/>
      <c r="F479" s="68"/>
      <c r="G479" s="1423" t="s">
        <v>1981</v>
      </c>
      <c r="H479" s="869" t="s">
        <v>3935</v>
      </c>
      <c r="I479" s="1758" t="s">
        <v>2447</v>
      </c>
      <c r="J479" s="68" t="s">
        <v>2951</v>
      </c>
      <c r="K479" s="68"/>
      <c r="L479" s="502"/>
      <c r="M479" s="68"/>
      <c r="N479" s="869"/>
      <c r="O479" s="2038">
        <v>1</v>
      </c>
      <c r="P479" s="2038"/>
      <c r="Q479" s="68"/>
    </row>
    <row r="480" spans="1:17" s="115" customFormat="1">
      <c r="A480" s="44" t="s">
        <v>2507</v>
      </c>
      <c r="C480" s="68"/>
      <c r="D480" s="68"/>
      <c r="E480" s="68"/>
      <c r="F480" s="68"/>
      <c r="G480" s="1423" t="s">
        <v>1902</v>
      </c>
      <c r="H480" s="869">
        <v>2019</v>
      </c>
      <c r="I480" s="869" t="s">
        <v>3934</v>
      </c>
      <c r="J480" s="68" t="s">
        <v>2952</v>
      </c>
      <c r="K480" s="68"/>
      <c r="L480" s="502"/>
      <c r="M480" s="68"/>
      <c r="N480" s="869"/>
      <c r="O480" s="2038">
        <v>1</v>
      </c>
      <c r="P480" s="2038"/>
      <c r="Q480" s="68"/>
    </row>
    <row r="481" spans="1:17" s="115" customFormat="1">
      <c r="A481" s="108" t="s">
        <v>2934</v>
      </c>
      <c r="C481" s="68"/>
      <c r="D481" s="502"/>
      <c r="E481" s="502">
        <v>3</v>
      </c>
      <c r="F481" s="68"/>
      <c r="G481" s="1423" t="s">
        <v>322</v>
      </c>
      <c r="H481" s="869">
        <v>2019</v>
      </c>
      <c r="I481" s="869" t="s">
        <v>3934</v>
      </c>
      <c r="J481" s="68"/>
      <c r="K481" s="68"/>
      <c r="L481" s="502"/>
      <c r="M481" s="68"/>
      <c r="N481" s="869"/>
      <c r="O481" s="2038"/>
      <c r="P481" s="2038"/>
      <c r="Q481" s="68"/>
    </row>
    <row r="482" spans="1:17" s="115" customFormat="1">
      <c r="A482" s="108" t="s">
        <v>2935</v>
      </c>
      <c r="C482" s="68"/>
      <c r="D482" s="502"/>
      <c r="E482" s="502">
        <v>2</v>
      </c>
      <c r="F482" s="68"/>
      <c r="G482" s="1423" t="s">
        <v>814</v>
      </c>
      <c r="H482" s="869">
        <v>2019</v>
      </c>
      <c r="I482" s="869" t="s">
        <v>3934</v>
      </c>
      <c r="J482" s="68"/>
      <c r="K482" s="68"/>
      <c r="L482" s="502"/>
      <c r="M482" s="68"/>
      <c r="N482" s="869"/>
      <c r="O482" s="2038"/>
      <c r="P482" s="2038"/>
      <c r="Q482" s="68"/>
    </row>
    <row r="483" spans="1:17" s="115" customFormat="1">
      <c r="A483" s="108" t="s">
        <v>2936</v>
      </c>
      <c r="C483" s="68"/>
      <c r="D483" s="502"/>
      <c r="E483" s="502">
        <v>10</v>
      </c>
      <c r="F483" s="68"/>
      <c r="G483" s="1423" t="s">
        <v>1784</v>
      </c>
      <c r="H483" s="869">
        <v>2019</v>
      </c>
      <c r="I483" s="869" t="s">
        <v>3934</v>
      </c>
      <c r="J483" s="399" t="s">
        <v>3177</v>
      </c>
      <c r="K483" s="68"/>
      <c r="L483" s="502"/>
      <c r="M483" s="68"/>
      <c r="N483" s="869"/>
      <c r="O483" s="2038"/>
      <c r="P483" s="2038"/>
      <c r="Q483" s="68"/>
    </row>
    <row r="484" spans="1:17" s="115" customFormat="1">
      <c r="A484" s="108" t="s">
        <v>2508</v>
      </c>
      <c r="C484" s="68"/>
      <c r="D484" s="502"/>
      <c r="E484" s="502"/>
      <c r="F484" s="68"/>
      <c r="G484" s="1423" t="s">
        <v>394</v>
      </c>
      <c r="H484" s="869">
        <v>2019</v>
      </c>
      <c r="I484" s="869" t="s">
        <v>3934</v>
      </c>
      <c r="J484" s="68" t="s">
        <v>3249</v>
      </c>
      <c r="K484" s="68"/>
      <c r="L484" s="502"/>
      <c r="M484" s="68"/>
      <c r="N484" s="869"/>
      <c r="O484" s="2038"/>
      <c r="P484" s="2038"/>
      <c r="Q484" s="68"/>
    </row>
    <row r="485" spans="1:17" s="115" customFormat="1">
      <c r="C485" s="502"/>
      <c r="D485" s="68"/>
      <c r="E485" s="68"/>
      <c r="F485" s="68"/>
      <c r="G485" s="1423" t="s">
        <v>920</v>
      </c>
      <c r="H485" s="869">
        <v>2020</v>
      </c>
      <c r="I485" s="869" t="s">
        <v>3934</v>
      </c>
      <c r="J485" s="68" t="s">
        <v>3244</v>
      </c>
      <c r="K485" s="68"/>
      <c r="L485" s="502"/>
      <c r="M485" s="68"/>
      <c r="N485" s="869"/>
      <c r="O485" s="2038"/>
      <c r="P485" s="2038"/>
      <c r="Q485" s="68"/>
    </row>
    <row r="486" spans="1:17" s="115" customFormat="1">
      <c r="C486" s="502"/>
      <c r="D486" s="68"/>
      <c r="E486" s="68"/>
      <c r="F486" s="68"/>
      <c r="G486" s="1423" t="s">
        <v>531</v>
      </c>
      <c r="H486" s="869">
        <v>2020</v>
      </c>
      <c r="I486" s="869" t="s">
        <v>3934</v>
      </c>
      <c r="J486" s="68" t="s">
        <v>3170</v>
      </c>
      <c r="K486" s="68"/>
      <c r="L486" s="502"/>
      <c r="M486" s="68"/>
      <c r="N486" s="869"/>
      <c r="O486" s="2038"/>
      <c r="P486" s="2038"/>
      <c r="Q486" s="68"/>
    </row>
    <row r="487" spans="1:17" s="115" customFormat="1">
      <c r="C487" s="502"/>
      <c r="D487" s="68"/>
      <c r="E487" s="68"/>
      <c r="F487" s="68"/>
      <c r="G487" s="1423" t="s">
        <v>808</v>
      </c>
      <c r="H487" s="869" t="s">
        <v>3935</v>
      </c>
      <c r="I487" s="1758" t="s">
        <v>2447</v>
      </c>
      <c r="J487" s="68" t="s">
        <v>3240</v>
      </c>
      <c r="K487" s="68"/>
      <c r="L487" s="502"/>
      <c r="M487" s="68"/>
      <c r="N487" s="869"/>
      <c r="O487" s="2038"/>
      <c r="P487" s="2038"/>
      <c r="Q487" s="68"/>
    </row>
    <row r="488" spans="1:17" s="115" customFormat="1">
      <c r="C488" s="502"/>
      <c r="D488" s="68"/>
      <c r="E488" s="68"/>
      <c r="F488" s="68"/>
      <c r="G488" s="1423" t="s">
        <v>2937</v>
      </c>
      <c r="H488" s="869">
        <v>2019</v>
      </c>
      <c r="I488" s="869" t="s">
        <v>3934</v>
      </c>
      <c r="J488" s="68" t="s">
        <v>3171</v>
      </c>
      <c r="K488" s="68"/>
      <c r="L488" s="502"/>
      <c r="M488" s="68"/>
      <c r="N488" s="869"/>
      <c r="O488" s="2038"/>
      <c r="P488" s="2038"/>
      <c r="Q488" s="68"/>
    </row>
    <row r="489" spans="1:17" s="115" customFormat="1">
      <c r="C489" s="68"/>
      <c r="D489" s="68"/>
      <c r="E489" s="68"/>
      <c r="F489" s="68"/>
      <c r="G489" s="1423" t="s">
        <v>763</v>
      </c>
      <c r="H489" s="869">
        <v>2019</v>
      </c>
      <c r="I489" s="869" t="s">
        <v>3934</v>
      </c>
      <c r="J489" s="68" t="s">
        <v>3241</v>
      </c>
      <c r="K489" s="68"/>
      <c r="L489" s="502"/>
      <c r="M489" s="68"/>
      <c r="N489" s="869"/>
      <c r="O489" s="2038"/>
      <c r="P489" s="2038"/>
      <c r="Q489" s="68"/>
    </row>
    <row r="490" spans="1:17" s="115" customFormat="1">
      <c r="C490" s="68"/>
      <c r="D490" s="68"/>
      <c r="E490" s="68"/>
      <c r="F490" s="68"/>
      <c r="G490" s="1423" t="s">
        <v>172</v>
      </c>
      <c r="H490" s="869">
        <v>2019</v>
      </c>
      <c r="I490" s="869" t="s">
        <v>3934</v>
      </c>
      <c r="J490" s="68" t="s">
        <v>3172</v>
      </c>
      <c r="K490" s="68"/>
      <c r="L490" s="68"/>
      <c r="M490" s="68"/>
      <c r="N490" s="869"/>
      <c r="O490" s="2038"/>
      <c r="P490" s="2038"/>
      <c r="Q490" s="68"/>
    </row>
    <row r="491" spans="1:17" s="115" customFormat="1">
      <c r="C491" s="68"/>
      <c r="D491" s="68"/>
      <c r="E491" s="68"/>
      <c r="F491" s="68"/>
      <c r="G491" s="1423" t="s">
        <v>3258</v>
      </c>
      <c r="H491" s="869" t="s">
        <v>3935</v>
      </c>
      <c r="I491" s="1758" t="s">
        <v>2447</v>
      </c>
      <c r="J491" s="68" t="s">
        <v>3242</v>
      </c>
      <c r="K491" s="68"/>
      <c r="L491" s="502"/>
      <c r="M491" s="68"/>
      <c r="N491" s="869"/>
      <c r="O491" s="2038"/>
      <c r="P491" s="2038"/>
      <c r="Q491" s="68"/>
    </row>
    <row r="492" spans="1:17" s="115" customFormat="1">
      <c r="C492" s="68"/>
      <c r="D492" s="68"/>
      <c r="E492" s="68"/>
      <c r="F492" s="68"/>
      <c r="G492" s="1423" t="s">
        <v>506</v>
      </c>
      <c r="H492" s="869">
        <v>2020</v>
      </c>
      <c r="I492" s="869" t="s">
        <v>3934</v>
      </c>
      <c r="J492" s="68" t="s">
        <v>3245</v>
      </c>
      <c r="K492" s="68"/>
      <c r="L492" s="502"/>
      <c r="M492" s="68"/>
      <c r="N492" s="869"/>
      <c r="O492" s="2038"/>
      <c r="P492" s="2038"/>
      <c r="Q492" s="68"/>
    </row>
    <row r="493" spans="1:17" s="115" customFormat="1">
      <c r="C493" s="68"/>
      <c r="D493" s="68"/>
      <c r="E493" s="68"/>
      <c r="F493" s="68"/>
      <c r="G493" s="1423" t="s">
        <v>375</v>
      </c>
      <c r="H493" s="869">
        <v>2020</v>
      </c>
      <c r="I493" s="869" t="s">
        <v>3934</v>
      </c>
      <c r="J493" s="68" t="s">
        <v>3248</v>
      </c>
      <c r="K493" s="68"/>
      <c r="L493" s="68"/>
      <c r="M493" s="68"/>
      <c r="N493" s="869"/>
      <c r="O493" s="2038"/>
      <c r="P493" s="2038"/>
      <c r="Q493" s="68"/>
    </row>
    <row r="494" spans="1:17" s="115" customFormat="1">
      <c r="C494" s="68"/>
      <c r="D494" s="685"/>
      <c r="E494" s="68"/>
      <c r="F494" s="68"/>
      <c r="G494" s="1423" t="s">
        <v>1347</v>
      </c>
      <c r="H494" s="869" t="s">
        <v>3935</v>
      </c>
      <c r="I494" s="1758" t="s">
        <v>2447</v>
      </c>
      <c r="J494" s="68" t="s">
        <v>3173</v>
      </c>
      <c r="K494" s="68"/>
      <c r="L494" s="502"/>
      <c r="M494" s="68"/>
      <c r="N494" s="869"/>
      <c r="O494" s="2038"/>
      <c r="P494" s="2038"/>
      <c r="Q494" s="68"/>
    </row>
    <row r="495" spans="1:17" s="115" customFormat="1">
      <c r="C495" s="68"/>
      <c r="D495" s="685"/>
      <c r="E495" s="68"/>
      <c r="F495" s="68"/>
      <c r="G495" s="1423" t="s">
        <v>1702</v>
      </c>
      <c r="H495" s="869" t="s">
        <v>3935</v>
      </c>
      <c r="I495" s="1758" t="s">
        <v>2447</v>
      </c>
      <c r="J495" s="68" t="s">
        <v>3174</v>
      </c>
      <c r="K495" s="68"/>
      <c r="L495" s="502"/>
      <c r="M495" s="68"/>
      <c r="N495" s="869"/>
      <c r="O495" s="2038"/>
      <c r="P495" s="2038"/>
      <c r="Q495" s="68"/>
    </row>
    <row r="496" spans="1:17" s="115" customFormat="1">
      <c r="C496" s="68"/>
      <c r="D496" s="68"/>
      <c r="E496" s="68"/>
      <c r="F496" s="68"/>
      <c r="G496" s="1423" t="s">
        <v>1964</v>
      </c>
      <c r="H496" s="869">
        <v>2020</v>
      </c>
      <c r="I496" s="869" t="s">
        <v>3934</v>
      </c>
      <c r="J496" s="68" t="s">
        <v>3243</v>
      </c>
      <c r="K496" s="68"/>
      <c r="L496" s="502"/>
      <c r="M496" s="68"/>
      <c r="N496" s="869"/>
      <c r="O496" s="2038"/>
      <c r="P496" s="2038"/>
      <c r="Q496" s="68"/>
    </row>
    <row r="497" spans="3:17" s="115" customFormat="1">
      <c r="C497" s="68"/>
      <c r="D497" s="68"/>
      <c r="E497" s="68"/>
      <c r="F497" s="68"/>
      <c r="G497" s="1423" t="s">
        <v>1350</v>
      </c>
      <c r="H497" s="869">
        <v>2019</v>
      </c>
      <c r="I497" s="869" t="s">
        <v>3934</v>
      </c>
      <c r="J497" s="68" t="s">
        <v>3246</v>
      </c>
      <c r="K497" s="68"/>
      <c r="L497" s="68"/>
      <c r="M497" s="68"/>
      <c r="N497" s="869"/>
      <c r="O497" s="2038"/>
      <c r="P497" s="2038"/>
      <c r="Q497" s="68"/>
    </row>
    <row r="498" spans="3:17" s="115" customFormat="1">
      <c r="C498" s="68"/>
      <c r="D498" s="68"/>
      <c r="E498" s="68"/>
      <c r="F498" s="68"/>
      <c r="G498" s="1423" t="s">
        <v>235</v>
      </c>
      <c r="H498" s="869">
        <v>2019</v>
      </c>
      <c r="I498" s="869" t="s">
        <v>3934</v>
      </c>
      <c r="J498" s="68" t="s">
        <v>3247</v>
      </c>
      <c r="K498" s="68"/>
      <c r="L498" s="502"/>
      <c r="M498" s="68"/>
      <c r="N498" s="869"/>
      <c r="O498" s="2038"/>
      <c r="P498" s="2038"/>
      <c r="Q498" s="68"/>
    </row>
    <row r="499" spans="3:17" s="115" customFormat="1">
      <c r="C499" s="68"/>
      <c r="D499" s="68"/>
      <c r="E499" s="68"/>
      <c r="F499" s="68"/>
      <c r="G499" s="1423" t="s">
        <v>977</v>
      </c>
      <c r="H499" s="869">
        <v>2020</v>
      </c>
      <c r="I499" s="869" t="s">
        <v>3934</v>
      </c>
      <c r="J499" s="68" t="s">
        <v>3175</v>
      </c>
      <c r="K499" s="68"/>
      <c r="L499" s="502"/>
      <c r="M499" s="68"/>
      <c r="N499" s="869"/>
      <c r="O499" s="2038"/>
      <c r="P499" s="2038"/>
      <c r="Q499" s="68"/>
    </row>
    <row r="500" spans="3:17" s="115" customFormat="1">
      <c r="C500" s="685"/>
      <c r="D500" s="68"/>
      <c r="E500" s="68"/>
      <c r="F500" s="68"/>
      <c r="G500" s="1423" t="s">
        <v>2091</v>
      </c>
      <c r="H500" s="869">
        <v>2020</v>
      </c>
      <c r="I500" s="869" t="s">
        <v>3934</v>
      </c>
      <c r="J500" s="68" t="s">
        <v>3176</v>
      </c>
      <c r="K500" s="68"/>
      <c r="L500" s="502"/>
      <c r="M500" s="68"/>
      <c r="N500" s="869"/>
      <c r="O500" s="2038"/>
      <c r="P500" s="2038"/>
      <c r="Q500" s="68"/>
    </row>
    <row r="501" spans="3:17" s="115" customFormat="1">
      <c r="C501" s="685"/>
      <c r="D501" s="68"/>
      <c r="E501" s="68"/>
      <c r="F501" s="68"/>
      <c r="G501" s="1423" t="s">
        <v>3929</v>
      </c>
      <c r="H501" s="869" t="s">
        <v>3935</v>
      </c>
      <c r="I501" s="1758" t="s">
        <v>2447</v>
      </c>
      <c r="J501" s="68"/>
      <c r="K501" s="68"/>
      <c r="L501" s="502"/>
      <c r="M501" s="68"/>
      <c r="N501" s="869"/>
      <c r="O501" s="2038"/>
      <c r="P501" s="2038"/>
      <c r="Q501" s="68"/>
    </row>
    <row r="502" spans="3:17" s="115" customFormat="1">
      <c r="C502" s="685"/>
      <c r="D502" s="68"/>
      <c r="E502" s="68"/>
      <c r="F502" s="68"/>
      <c r="G502" s="1423" t="s">
        <v>1744</v>
      </c>
      <c r="H502" s="869" t="s">
        <v>3935</v>
      </c>
      <c r="I502" s="1758" t="s">
        <v>2447</v>
      </c>
      <c r="J502" s="68"/>
      <c r="K502" s="68"/>
      <c r="L502" s="502"/>
      <c r="M502" s="68"/>
      <c r="N502" s="869"/>
      <c r="O502" s="2038"/>
      <c r="P502" s="2038"/>
      <c r="Q502" s="68"/>
    </row>
    <row r="503" spans="3:17" s="115" customFormat="1">
      <c r="C503" s="685"/>
      <c r="D503" s="68"/>
      <c r="E503" s="68"/>
      <c r="F503" s="68"/>
      <c r="G503" s="1423" t="s">
        <v>471</v>
      </c>
      <c r="H503" s="869" t="s">
        <v>3935</v>
      </c>
      <c r="I503" s="1758" t="s">
        <v>2447</v>
      </c>
      <c r="J503" s="68"/>
      <c r="K503" s="68"/>
      <c r="L503" s="502"/>
      <c r="M503" s="68"/>
      <c r="N503" s="869"/>
      <c r="O503" s="2038"/>
      <c r="P503" s="2038"/>
      <c r="Q503" s="68"/>
    </row>
    <row r="504" spans="3:17" s="115" customFormat="1">
      <c r="C504" s="685"/>
      <c r="D504" s="68"/>
      <c r="E504" s="68"/>
      <c r="F504" s="68"/>
      <c r="G504" s="1423" t="s">
        <v>1946</v>
      </c>
      <c r="H504" s="869" t="s">
        <v>3935</v>
      </c>
      <c r="I504" s="1758" t="s">
        <v>2447</v>
      </c>
      <c r="J504" s="68"/>
      <c r="K504" s="68"/>
      <c r="L504" s="502"/>
      <c r="M504" s="68"/>
      <c r="N504" s="869"/>
      <c r="O504" s="2038"/>
      <c r="P504" s="2038"/>
      <c r="Q504" s="68"/>
    </row>
    <row r="505" spans="3:17" s="115" customFormat="1">
      <c r="C505" s="685"/>
      <c r="D505" s="68"/>
      <c r="E505" s="68"/>
      <c r="F505" s="68"/>
      <c r="G505" s="1423" t="s">
        <v>2083</v>
      </c>
      <c r="H505" s="869">
        <v>2020</v>
      </c>
      <c r="I505" s="869" t="s">
        <v>3934</v>
      </c>
      <c r="J505" s="68"/>
      <c r="K505" s="68"/>
      <c r="L505" s="502"/>
      <c r="M505" s="68"/>
      <c r="N505" s="869"/>
      <c r="O505" s="2038"/>
      <c r="P505" s="2038"/>
      <c r="Q505" s="68"/>
    </row>
    <row r="506" spans="3:17" s="115" customFormat="1">
      <c r="C506" s="685"/>
      <c r="D506" s="68"/>
      <c r="E506" s="68"/>
      <c r="F506" s="68"/>
      <c r="G506" s="1423" t="s">
        <v>1969</v>
      </c>
      <c r="H506" s="869">
        <v>2020</v>
      </c>
      <c r="I506" s="869" t="s">
        <v>3934</v>
      </c>
      <c r="J506" s="68"/>
      <c r="K506" s="68"/>
      <c r="L506" s="68"/>
      <c r="M506" s="68"/>
      <c r="N506" s="869"/>
      <c r="O506" s="2038"/>
      <c r="P506" s="2038"/>
      <c r="Q506" s="68"/>
    </row>
    <row r="507" spans="3:17" s="115" customFormat="1">
      <c r="C507" s="68"/>
      <c r="D507" s="68"/>
      <c r="E507" s="68"/>
      <c r="F507" s="68"/>
      <c r="G507" s="1423" t="s">
        <v>2148</v>
      </c>
      <c r="H507" s="869">
        <v>2019</v>
      </c>
      <c r="I507" s="869" t="s">
        <v>3934</v>
      </c>
      <c r="J507" s="68"/>
      <c r="K507" s="68"/>
      <c r="L507" s="68"/>
      <c r="M507" s="68"/>
      <c r="N507" s="869"/>
      <c r="O507" s="2038"/>
      <c r="P507" s="2038"/>
      <c r="Q507" s="68"/>
    </row>
    <row r="508" spans="3:17" s="115" customFormat="1">
      <c r="C508" s="68"/>
      <c r="D508" s="68"/>
      <c r="E508" s="68"/>
      <c r="F508" s="68"/>
      <c r="G508" s="1423" t="s">
        <v>3930</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3934</v>
      </c>
      <c r="J509" s="68"/>
      <c r="K509" s="68"/>
      <c r="L509" s="68"/>
      <c r="M509" s="68"/>
      <c r="N509" s="869"/>
      <c r="O509" s="2038"/>
      <c r="P509" s="2038"/>
      <c r="Q509" s="68"/>
    </row>
    <row r="510" spans="3:17" s="115" customFormat="1">
      <c r="C510" s="68"/>
      <c r="D510" s="68"/>
      <c r="E510" s="68"/>
      <c r="F510" s="68"/>
      <c r="G510" s="1423" t="s">
        <v>1575</v>
      </c>
      <c r="H510" s="869">
        <v>2020</v>
      </c>
      <c r="I510" s="869" t="s">
        <v>3934</v>
      </c>
      <c r="J510" s="68"/>
      <c r="K510" s="68"/>
      <c r="L510" s="68"/>
      <c r="M510" s="68"/>
      <c r="N510" s="869"/>
      <c r="O510" s="2038"/>
      <c r="P510" s="2038"/>
      <c r="Q510" s="68"/>
    </row>
    <row r="511" spans="3:17" s="115" customFormat="1">
      <c r="C511" s="68"/>
      <c r="D511" s="68"/>
      <c r="E511" s="68"/>
      <c r="F511" s="68"/>
      <c r="G511" s="1423" t="s">
        <v>1580</v>
      </c>
      <c r="H511" s="869">
        <v>2020</v>
      </c>
      <c r="I511" s="869" t="s">
        <v>3934</v>
      </c>
      <c r="J511" s="68"/>
      <c r="K511" s="68"/>
      <c r="L511" s="68"/>
      <c r="M511" s="68"/>
      <c r="N511" s="869"/>
      <c r="O511" s="2038"/>
      <c r="P511" s="2038"/>
      <c r="Q511" s="68"/>
    </row>
    <row r="512" spans="3:17" s="115" customFormat="1">
      <c r="C512" s="68"/>
      <c r="D512" s="68"/>
      <c r="E512" s="68"/>
      <c r="F512" s="68"/>
      <c r="G512" s="1423" t="s">
        <v>1588</v>
      </c>
      <c r="H512" s="869">
        <v>2020</v>
      </c>
      <c r="I512" s="869" t="s">
        <v>3934</v>
      </c>
      <c r="J512" s="68"/>
      <c r="K512" s="68"/>
      <c r="L512" s="68"/>
      <c r="M512" s="68"/>
      <c r="N512" s="869"/>
      <c r="O512" s="2038"/>
      <c r="P512" s="2038"/>
      <c r="Q512" s="68"/>
    </row>
    <row r="513" spans="3:17" s="115" customFormat="1">
      <c r="C513" s="68"/>
      <c r="D513" s="68"/>
      <c r="E513" s="68"/>
      <c r="F513" s="68"/>
      <c r="G513" s="1423" t="s">
        <v>1589</v>
      </c>
      <c r="H513" s="869">
        <v>2019</v>
      </c>
      <c r="I513" s="869" t="s">
        <v>3934</v>
      </c>
      <c r="J513" s="68"/>
      <c r="K513" s="68"/>
      <c r="L513" s="68"/>
      <c r="M513" s="68"/>
      <c r="N513" s="869"/>
      <c r="O513" s="2038"/>
      <c r="P513" s="2038"/>
      <c r="Q513" s="68"/>
    </row>
    <row r="514" spans="3:17" s="115" customFormat="1">
      <c r="C514" s="68"/>
      <c r="D514" s="68"/>
      <c r="E514" s="68"/>
      <c r="F514" s="68"/>
      <c r="G514" s="1423" t="s">
        <v>100</v>
      </c>
      <c r="H514" s="869">
        <v>2020</v>
      </c>
      <c r="I514" s="869" t="s">
        <v>3934</v>
      </c>
      <c r="J514" s="68"/>
      <c r="K514" s="68"/>
      <c r="L514" s="68"/>
      <c r="M514" s="68"/>
      <c r="N514" s="869"/>
      <c r="O514" s="2038"/>
      <c r="P514" s="2038"/>
      <c r="Q514" s="68"/>
    </row>
    <row r="515" spans="3:17" s="115" customFormat="1">
      <c r="C515" s="68"/>
      <c r="D515" s="68"/>
      <c r="E515" s="68"/>
      <c r="F515" s="68"/>
      <c r="G515" s="1423" t="s">
        <v>285</v>
      </c>
      <c r="H515" s="869">
        <v>2020</v>
      </c>
      <c r="I515" s="869" t="s">
        <v>3934</v>
      </c>
      <c r="J515" s="68"/>
      <c r="K515" s="68"/>
      <c r="L515" s="68"/>
      <c r="M515" s="68"/>
      <c r="N515" s="869"/>
      <c r="O515" s="2038"/>
      <c r="P515" s="2038"/>
      <c r="Q515" s="68"/>
    </row>
    <row r="516" spans="3:17" s="115" customFormat="1">
      <c r="C516" s="68"/>
      <c r="D516" s="68"/>
      <c r="E516" s="68"/>
      <c r="F516" s="68"/>
      <c r="G516" s="1423" t="s">
        <v>1440</v>
      </c>
      <c r="H516" s="869" t="s">
        <v>3935</v>
      </c>
      <c r="I516" s="1758" t="s">
        <v>2447</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A6" sqref="A6:D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4203</v>
      </c>
      <c r="C1" s="1616"/>
      <c r="D1" s="1616"/>
      <c r="E1" s="1616"/>
      <c r="F1" s="1616" t="s">
        <v>4204</v>
      </c>
      <c r="G1" s="1616" t="s">
        <v>4205</v>
      </c>
      <c r="H1" s="1616" t="s">
        <v>4206</v>
      </c>
      <c r="I1" s="1616" t="s">
        <v>4207</v>
      </c>
      <c r="J1" s="1616" t="s">
        <v>4208</v>
      </c>
      <c r="K1" s="1616" t="s">
        <v>4209</v>
      </c>
      <c r="L1" s="1616"/>
      <c r="M1" s="1616"/>
      <c r="N1" s="1616" t="s">
        <v>4210</v>
      </c>
      <c r="O1" s="1616" t="s">
        <v>4211</v>
      </c>
      <c r="P1" s="1616" t="s">
        <v>4212</v>
      </c>
      <c r="Z1" s="1618">
        <v>1</v>
      </c>
    </row>
    <row r="2" spans="1:28" s="144" customFormat="1" ht="14.1" customHeight="1">
      <c r="A2" s="2947" t="str">
        <f>CONCATENATE("Part I-Project Identification"," - ",$O$7," ",$F$26,", ",$F$27,", ",J27," County")</f>
        <v>Part I-Project Identification - 2024-0 Lewis Crossing, Atlanta, Fulton County</v>
      </c>
      <c r="B2" s="2948"/>
      <c r="C2" s="2948"/>
      <c r="D2" s="2948"/>
      <c r="E2" s="2948"/>
      <c r="F2" s="2948"/>
      <c r="G2" s="2948"/>
      <c r="H2" s="2948"/>
      <c r="I2" s="2948"/>
      <c r="J2" s="2948"/>
      <c r="K2" s="2948"/>
      <c r="L2" s="2948"/>
      <c r="M2" s="2948"/>
      <c r="N2" s="2948"/>
      <c r="O2" s="2948"/>
      <c r="P2" s="2949"/>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50" t="s">
        <v>4636</v>
      </c>
      <c r="B4" s="2950"/>
      <c r="C4" s="2950"/>
      <c r="D4" s="2950"/>
      <c r="E4" s="2950"/>
      <c r="F4" s="2950"/>
      <c r="G4" s="2950"/>
      <c r="H4" s="2950"/>
      <c r="I4" s="2950"/>
      <c r="J4" s="2950"/>
      <c r="K4" s="2950"/>
      <c r="L4" s="2950"/>
      <c r="M4" s="2950"/>
      <c r="N4" s="2950"/>
      <c r="O4" s="2950"/>
      <c r="P4" s="2950"/>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1" t="s">
        <v>5231</v>
      </c>
      <c r="B6" s="2951"/>
      <c r="C6" s="2951"/>
      <c r="D6" s="2951"/>
      <c r="F6" s="242"/>
      <c r="G6" s="224" t="s">
        <v>3699</v>
      </c>
      <c r="L6" s="374"/>
      <c r="P6" s="1698" t="s">
        <v>3206</v>
      </c>
      <c r="Z6" s="1618">
        <v>6</v>
      </c>
      <c r="AA6" s="1729">
        <v>5</v>
      </c>
    </row>
    <row r="7" spans="1:28" s="144" customFormat="1" ht="12" customHeight="1" thickBot="1">
      <c r="A7" s="2951"/>
      <c r="B7" s="2951"/>
      <c r="C7" s="2951"/>
      <c r="D7" s="2951"/>
      <c r="E7" s="983"/>
      <c r="F7" s="244"/>
      <c r="G7" s="224" t="s">
        <v>3984</v>
      </c>
      <c r="H7" s="248"/>
      <c r="I7" s="248"/>
      <c r="J7" s="248"/>
      <c r="O7" s="2952" t="s">
        <v>4748</v>
      </c>
      <c r="P7" s="2953"/>
      <c r="Q7" s="2954" t="s">
        <v>4529</v>
      </c>
      <c r="R7" s="2954"/>
      <c r="S7" s="2955"/>
      <c r="Z7" s="1618">
        <v>7</v>
      </c>
      <c r="AA7" s="1729">
        <v>6</v>
      </c>
    </row>
    <row r="8" spans="1:28" s="144" customFormat="1" ht="12" customHeight="1">
      <c r="A8" s="2951"/>
      <c r="B8" s="2951"/>
      <c r="C8" s="2951"/>
      <c r="D8" s="2951"/>
      <c r="E8" s="983"/>
      <c r="F8" s="407"/>
      <c r="G8" s="147" t="s">
        <v>2893</v>
      </c>
      <c r="H8" s="248"/>
      <c r="I8" s="248"/>
      <c r="J8" s="248"/>
      <c r="Q8" s="2956"/>
      <c r="R8" s="2957"/>
      <c r="S8" s="2958"/>
      <c r="Z8" s="1618">
        <v>8</v>
      </c>
      <c r="AA8" s="1729">
        <v>7</v>
      </c>
    </row>
    <row r="9" spans="1:28" s="144" customFormat="1" ht="6" customHeight="1">
      <c r="A9" s="374"/>
      <c r="E9" s="248"/>
      <c r="H9" s="248"/>
      <c r="I9" s="248"/>
      <c r="M9" s="248"/>
      <c r="Q9" s="2956"/>
      <c r="R9" s="2957"/>
      <c r="S9" s="2958"/>
      <c r="Z9" s="1618">
        <v>9</v>
      </c>
      <c r="AA9" s="1729">
        <v>8</v>
      </c>
    </row>
    <row r="10" spans="1:28" s="144" customFormat="1" ht="13.35" customHeight="1">
      <c r="A10" s="243" t="s">
        <v>572</v>
      </c>
      <c r="B10" s="243" t="s">
        <v>2186</v>
      </c>
      <c r="D10" s="145"/>
      <c r="E10" s="245"/>
      <c r="F10" s="246" t="s">
        <v>3183</v>
      </c>
      <c r="I10" s="2962">
        <f>'Part III-A-Uses of Funds'!$J$191</f>
        <v>1350000</v>
      </c>
      <c r="J10" s="2963"/>
      <c r="L10" s="144" t="s">
        <v>3184</v>
      </c>
      <c r="O10" s="2964">
        <f>'Part II-Sources of Funds'!$I$6</f>
        <v>0</v>
      </c>
      <c r="P10" s="2965"/>
      <c r="Q10" s="2956"/>
      <c r="R10" s="2957"/>
      <c r="S10" s="2958"/>
      <c r="Z10" s="1618">
        <v>10</v>
      </c>
      <c r="AA10" s="1729">
        <v>9</v>
      </c>
    </row>
    <row r="11" spans="1:28" s="144" customFormat="1" ht="6" customHeight="1">
      <c r="A11" s="243"/>
      <c r="B11" s="243"/>
      <c r="D11" s="145"/>
      <c r="E11" s="245"/>
      <c r="F11" s="245"/>
      <c r="I11" s="222"/>
      <c r="N11" s="247"/>
      <c r="Q11" s="2956"/>
      <c r="R11" s="2957"/>
      <c r="S11" s="2958"/>
      <c r="Z11" s="1618">
        <v>11</v>
      </c>
      <c r="AA11" s="1729">
        <v>10</v>
      </c>
    </row>
    <row r="12" spans="1:28" s="144" customFormat="1" ht="13.5">
      <c r="A12" s="222" t="s">
        <v>688</v>
      </c>
      <c r="B12" s="243" t="s">
        <v>1886</v>
      </c>
      <c r="F12" s="2966" t="s">
        <v>5140</v>
      </c>
      <c r="G12" s="2967"/>
      <c r="H12" s="2968"/>
      <c r="I12" s="1699" t="s">
        <v>4412</v>
      </c>
      <c r="J12" s="1457" t="s">
        <v>4822</v>
      </c>
      <c r="K12" s="243"/>
      <c r="L12" s="248"/>
      <c r="O12" s="2969" t="s">
        <v>2446</v>
      </c>
      <c r="P12" s="2970"/>
      <c r="Q12" s="2956"/>
      <c r="R12" s="2957"/>
      <c r="S12" s="2958"/>
      <c r="Z12" s="1618">
        <v>12</v>
      </c>
      <c r="AA12" s="1729">
        <v>11</v>
      </c>
    </row>
    <row r="13" spans="1:28" s="1990" customFormat="1" ht="15">
      <c r="A13" s="1963"/>
      <c r="C13" s="1969"/>
      <c r="D13" s="1969"/>
      <c r="E13" s="1969"/>
      <c r="F13" s="2095" t="s">
        <v>4821</v>
      </c>
      <c r="H13" s="2093"/>
      <c r="I13" s="2093"/>
      <c r="J13" s="2093"/>
      <c r="K13" s="2093"/>
      <c r="L13" s="2093"/>
      <c r="M13" s="2093"/>
      <c r="N13" s="2093"/>
      <c r="O13" s="2094"/>
      <c r="P13" s="2089"/>
      <c r="Q13" s="2956"/>
      <c r="R13" s="2957"/>
      <c r="S13" s="2958"/>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6"/>
      <c r="R14" s="2957"/>
      <c r="S14" s="2958"/>
      <c r="Z14" s="1618">
        <v>14</v>
      </c>
      <c r="AA14" s="1729">
        <v>13</v>
      </c>
    </row>
    <row r="15" spans="1:28" s="144" customFormat="1">
      <c r="A15" s="222" t="s">
        <v>690</v>
      </c>
      <c r="B15" s="243" t="s">
        <v>3553</v>
      </c>
      <c r="D15" s="246"/>
      <c r="E15" s="245"/>
      <c r="G15" s="245"/>
      <c r="H15" s="245"/>
      <c r="I15" s="738" t="s">
        <v>3211</v>
      </c>
      <c r="L15" s="247"/>
      <c r="Q15" s="2956"/>
      <c r="R15" s="2957"/>
      <c r="S15" s="2958"/>
      <c r="Z15" s="1618">
        <v>15</v>
      </c>
      <c r="AA15" s="1729">
        <v>14</v>
      </c>
    </row>
    <row r="16" spans="1:28" s="144" customFormat="1">
      <c r="B16" s="144" t="s">
        <v>3212</v>
      </c>
      <c r="F16" s="2944" t="s">
        <v>5130</v>
      </c>
      <c r="G16" s="2945"/>
      <c r="H16" s="2946"/>
      <c r="I16" s="2044" t="s">
        <v>1665</v>
      </c>
      <c r="J16" s="2913" t="s">
        <v>5131</v>
      </c>
      <c r="K16" s="2915"/>
      <c r="L16" s="2940"/>
      <c r="M16" s="1808" t="s">
        <v>1834</v>
      </c>
      <c r="N16" s="2944" t="s">
        <v>5136</v>
      </c>
      <c r="O16" s="2945"/>
      <c r="P16" s="2946"/>
      <c r="Q16" s="2956"/>
      <c r="R16" s="2957"/>
      <c r="S16" s="2958"/>
      <c r="Z16" s="1618">
        <v>16</v>
      </c>
      <c r="AA16" s="1729">
        <v>15</v>
      </c>
    </row>
    <row r="17" spans="1:27" s="144" customFormat="1" ht="12.75" customHeight="1">
      <c r="B17" s="246" t="s">
        <v>1597</v>
      </c>
      <c r="F17" s="2909">
        <v>6144997589</v>
      </c>
      <c r="G17" s="2910"/>
      <c r="H17" s="2911"/>
      <c r="I17" s="2045" t="s">
        <v>1596</v>
      </c>
      <c r="J17" s="810"/>
      <c r="M17" s="246" t="s">
        <v>1598</v>
      </c>
      <c r="N17" s="2909">
        <v>6144997589</v>
      </c>
      <c r="O17" s="2910"/>
      <c r="P17" s="2911"/>
      <c r="Q17" s="2956"/>
      <c r="R17" s="2957"/>
      <c r="S17" s="2958"/>
      <c r="V17" s="738"/>
      <c r="W17" s="738"/>
      <c r="X17" s="738"/>
      <c r="Z17" s="1618">
        <v>17</v>
      </c>
      <c r="AA17" s="1729">
        <v>16</v>
      </c>
    </row>
    <row r="18" spans="1:27" s="144" customFormat="1">
      <c r="B18" s="246" t="s">
        <v>1837</v>
      </c>
      <c r="F18" s="2938" t="s">
        <v>5132</v>
      </c>
      <c r="G18" s="2939"/>
      <c r="H18" s="2939"/>
      <c r="I18" s="2915"/>
      <c r="J18" s="2939"/>
      <c r="K18" s="2915"/>
      <c r="L18" s="2940"/>
      <c r="M18" s="246" t="s">
        <v>1833</v>
      </c>
      <c r="N18" s="2941">
        <v>6144997589</v>
      </c>
      <c r="O18" s="2942"/>
      <c r="P18" s="2943"/>
      <c r="Q18" s="2956"/>
      <c r="R18" s="2957"/>
      <c r="S18" s="2958"/>
      <c r="U18" s="738"/>
      <c r="V18" s="738"/>
      <c r="W18" s="738"/>
      <c r="X18" s="738"/>
      <c r="Z18" s="1618">
        <v>18</v>
      </c>
      <c r="AA18" s="1729">
        <v>17</v>
      </c>
    </row>
    <row r="19" spans="1:27" s="144" customFormat="1">
      <c r="A19" s="374"/>
      <c r="B19" s="243" t="s">
        <v>3552</v>
      </c>
      <c r="C19" s="145"/>
      <c r="H19" s="248"/>
      <c r="J19" s="145"/>
      <c r="P19" s="248"/>
      <c r="Q19" s="2956"/>
      <c r="R19" s="2957"/>
      <c r="S19" s="2958"/>
      <c r="Z19" s="1618">
        <v>19</v>
      </c>
      <c r="AA19" s="1729">
        <v>18</v>
      </c>
    </row>
    <row r="20" spans="1:27" s="144" customFormat="1">
      <c r="B20" s="144" t="s">
        <v>3212</v>
      </c>
      <c r="F20" s="2944" t="s">
        <v>5133</v>
      </c>
      <c r="G20" s="2945"/>
      <c r="H20" s="2946"/>
      <c r="I20" s="2044" t="s">
        <v>1665</v>
      </c>
      <c r="J20" s="2913" t="s">
        <v>5135</v>
      </c>
      <c r="K20" s="2915"/>
      <c r="L20" s="2940"/>
      <c r="M20" s="1808" t="s">
        <v>1834</v>
      </c>
      <c r="N20" s="2944" t="s">
        <v>5137</v>
      </c>
      <c r="O20" s="2945"/>
      <c r="P20" s="2946"/>
      <c r="Q20" s="2956"/>
      <c r="R20" s="2957"/>
      <c r="S20" s="2958"/>
      <c r="Z20" s="1618">
        <v>20</v>
      </c>
      <c r="AA20" s="1729">
        <v>19</v>
      </c>
    </row>
    <row r="21" spans="1:27" s="144" customFormat="1">
      <c r="B21" s="246" t="s">
        <v>1597</v>
      </c>
      <c r="F21" s="2909">
        <v>7062071715</v>
      </c>
      <c r="G21" s="2910"/>
      <c r="H21" s="2911"/>
      <c r="I21" s="2045" t="s">
        <v>1596</v>
      </c>
      <c r="J21" s="810"/>
      <c r="M21" s="246" t="s">
        <v>1598</v>
      </c>
      <c r="N21" s="2909">
        <v>7062071715</v>
      </c>
      <c r="O21" s="2910"/>
      <c r="P21" s="2911"/>
      <c r="Q21" s="2956"/>
      <c r="R21" s="2957"/>
      <c r="S21" s="2958"/>
      <c r="U21" s="230"/>
      <c r="V21" s="230"/>
      <c r="W21" s="230"/>
      <c r="X21" s="230"/>
      <c r="Z21" s="1618">
        <v>21</v>
      </c>
      <c r="AA21" s="1729">
        <v>20</v>
      </c>
    </row>
    <row r="22" spans="1:27" s="144" customFormat="1">
      <c r="B22" s="246" t="s">
        <v>1837</v>
      </c>
      <c r="F22" s="2938" t="s">
        <v>5134</v>
      </c>
      <c r="G22" s="2939"/>
      <c r="H22" s="2939"/>
      <c r="I22" s="2915"/>
      <c r="J22" s="2939"/>
      <c r="K22" s="2915"/>
      <c r="L22" s="2940"/>
      <c r="M22" s="246" t="s">
        <v>1833</v>
      </c>
      <c r="N22" s="2941">
        <v>7062071715</v>
      </c>
      <c r="O22" s="2942"/>
      <c r="P22" s="2943"/>
      <c r="Q22" s="2956"/>
      <c r="R22" s="2957"/>
      <c r="S22" s="2958"/>
      <c r="Z22" s="1618">
        <v>22</v>
      </c>
      <c r="AA22" s="1729">
        <v>21</v>
      </c>
    </row>
    <row r="23" spans="1:27" s="144" customFormat="1">
      <c r="I23" s="145"/>
      <c r="J23" s="145"/>
      <c r="K23" s="145"/>
      <c r="L23" s="145"/>
      <c r="M23" s="145"/>
      <c r="N23" s="145"/>
      <c r="O23" s="145"/>
      <c r="P23" s="145"/>
      <c r="Q23" s="2956"/>
      <c r="R23" s="2957"/>
      <c r="S23" s="2958"/>
      <c r="Z23" s="1618">
        <v>23</v>
      </c>
      <c r="AA23" s="1729">
        <v>22</v>
      </c>
    </row>
    <row r="24" spans="1:27" s="144" customFormat="1">
      <c r="A24" s="222" t="s">
        <v>1661</v>
      </c>
      <c r="B24" s="243" t="s">
        <v>1379</v>
      </c>
      <c r="D24" s="145"/>
      <c r="E24" s="245"/>
      <c r="F24" s="245"/>
      <c r="G24" s="246"/>
      <c r="H24" s="245"/>
      <c r="I24" s="245"/>
      <c r="J24" s="245"/>
      <c r="Q24" s="2956"/>
      <c r="R24" s="2957"/>
      <c r="S24" s="2958"/>
      <c r="Z24" s="1618">
        <v>24</v>
      </c>
      <c r="AA24" s="1729">
        <v>23</v>
      </c>
    </row>
    <row r="25" spans="1:27" s="144" customFormat="1" ht="1.5" customHeight="1">
      <c r="A25" s="222"/>
      <c r="B25" s="243"/>
      <c r="D25" s="145"/>
      <c r="E25" s="245"/>
      <c r="F25" s="245"/>
      <c r="G25" s="246"/>
      <c r="H25" s="245"/>
      <c r="I25" s="245"/>
      <c r="J25" s="245"/>
      <c r="L25" s="247"/>
      <c r="M25" s="247"/>
      <c r="Q25" s="2956"/>
      <c r="R25" s="2957"/>
      <c r="S25" s="2958"/>
      <c r="Z25" s="1618">
        <v>25</v>
      </c>
      <c r="AA25" s="1729">
        <v>24</v>
      </c>
    </row>
    <row r="26" spans="1:27" s="144" customFormat="1" ht="13.35" customHeight="1">
      <c r="A26" s="243"/>
      <c r="B26" s="144" t="s">
        <v>573</v>
      </c>
      <c r="D26" s="243"/>
      <c r="F26" s="2913" t="s">
        <v>5138</v>
      </c>
      <c r="G26" s="2914"/>
      <c r="H26" s="2914"/>
      <c r="I26" s="2915"/>
      <c r="J26" s="2914"/>
      <c r="K26" s="2916"/>
      <c r="M26" s="246" t="s">
        <v>424</v>
      </c>
      <c r="P26" s="1809" t="s">
        <v>2645</v>
      </c>
      <c r="Q26" s="2956"/>
      <c r="R26" s="2957"/>
      <c r="S26" s="2958"/>
      <c r="Z26" s="1618">
        <v>26</v>
      </c>
      <c r="AA26" s="1729">
        <v>25</v>
      </c>
    </row>
    <row r="27" spans="1:27" s="144" customFormat="1">
      <c r="A27" s="374"/>
      <c r="B27" s="144" t="s">
        <v>574</v>
      </c>
      <c r="F27" s="2917" t="s">
        <v>1130</v>
      </c>
      <c r="G27" s="2918"/>
      <c r="H27" s="2919"/>
      <c r="I27" s="257" t="s">
        <v>575</v>
      </c>
      <c r="J27" s="2920" t="str">
        <f>IF(F27="","",VLOOKUP(F27,'DCA Underwriting Assumptions'!$T$166:$U$795,2,FALSE))</f>
        <v>Fulton</v>
      </c>
      <c r="K27" s="2921"/>
      <c r="M27" s="246" t="s">
        <v>425</v>
      </c>
      <c r="P27" s="1866" t="s">
        <v>2645</v>
      </c>
      <c r="Q27" s="2956"/>
      <c r="R27" s="2957"/>
      <c r="S27" s="2958"/>
      <c r="U27" s="374"/>
      <c r="Z27" s="1618">
        <v>27</v>
      </c>
      <c r="AA27" s="1729">
        <v>26</v>
      </c>
    </row>
    <row r="28" spans="1:27" s="144" customFormat="1" ht="13.5">
      <c r="A28" s="374"/>
      <c r="B28" s="144" t="s">
        <v>3781</v>
      </c>
      <c r="C28" s="251"/>
      <c r="D28" s="252"/>
      <c r="E28" s="252"/>
      <c r="F28" s="2917" t="s">
        <v>5139</v>
      </c>
      <c r="G28" s="2922"/>
      <c r="H28" s="2923"/>
      <c r="I28" s="248"/>
      <c r="J28" s="391" t="s">
        <v>4615</v>
      </c>
      <c r="K28" s="248"/>
      <c r="M28" s="246" t="s">
        <v>4558</v>
      </c>
      <c r="O28" s="2924">
        <v>0.56000000000000005</v>
      </c>
      <c r="P28" s="2925"/>
      <c r="Q28" s="2956"/>
      <c r="R28" s="2957"/>
      <c r="S28" s="2958"/>
      <c r="Z28" s="1618">
        <v>28</v>
      </c>
      <c r="AA28" s="1729">
        <v>27</v>
      </c>
    </row>
    <row r="29" spans="1:27" s="144" customFormat="1">
      <c r="A29" s="374"/>
      <c r="B29" s="144" t="s">
        <v>1453</v>
      </c>
      <c r="F29" s="1198" t="s">
        <v>2645</v>
      </c>
      <c r="G29" s="807"/>
      <c r="I29" s="1865"/>
      <c r="J29" s="248" t="s">
        <v>2493</v>
      </c>
      <c r="K29" s="1867" t="str">
        <f>IF(F29="Yes","Rural","Urban")</f>
        <v>Urban</v>
      </c>
      <c r="M29" s="246" t="s">
        <v>2393</v>
      </c>
      <c r="N29" s="1868" t="str">
        <f>VLOOKUP($J$27,'DCA Underwriting Assumptions'!$G$166:$J$325,4)</f>
        <v>MSA</v>
      </c>
      <c r="O29" s="2920" t="str">
        <f>IF($F$27="","",VLOOKUP($J$27,'DCA Underwriting Assumptions'!$G$166:$L$325,3,FALSE))</f>
        <v>Atlanta-Sandy Springs-Marietta</v>
      </c>
      <c r="P29" s="2921"/>
      <c r="Q29" s="2956"/>
      <c r="R29" s="2957"/>
      <c r="S29" s="2958"/>
      <c r="Z29" s="1618">
        <v>29</v>
      </c>
      <c r="AA29" s="1729">
        <v>28</v>
      </c>
    </row>
    <row r="30" spans="1:27" s="144" customFormat="1">
      <c r="A30" s="374"/>
      <c r="B30" s="374"/>
      <c r="C30" s="251"/>
      <c r="D30" s="252"/>
      <c r="E30" s="252"/>
      <c r="F30" s="248"/>
      <c r="G30" s="248"/>
      <c r="H30" s="248"/>
      <c r="I30" s="248"/>
      <c r="J30" s="252"/>
      <c r="K30" s="248"/>
      <c r="L30" s="248"/>
      <c r="P30" s="248"/>
      <c r="Q30" s="2956"/>
      <c r="R30" s="2957"/>
      <c r="S30" s="2958"/>
      <c r="Z30" s="1618">
        <v>30</v>
      </c>
      <c r="AA30" s="1729">
        <v>29</v>
      </c>
    </row>
    <row r="31" spans="1:27" s="144" customFormat="1">
      <c r="A31" s="222" t="s">
        <v>1663</v>
      </c>
      <c r="B31" s="222" t="s">
        <v>4547</v>
      </c>
      <c r="D31" s="253"/>
      <c r="E31" s="253"/>
      <c r="F31" s="253"/>
      <c r="G31" s="248"/>
      <c r="H31" s="248"/>
      <c r="I31" s="248"/>
      <c r="J31" s="252"/>
      <c r="K31" s="248"/>
      <c r="L31" s="248"/>
      <c r="P31" s="1847"/>
      <c r="Q31" s="2956"/>
      <c r="R31" s="2957"/>
      <c r="S31" s="2958"/>
      <c r="Z31" s="1618">
        <v>31</v>
      </c>
      <c r="AA31" s="1729">
        <v>30</v>
      </c>
    </row>
    <row r="32" spans="1:27" s="144" customFormat="1" ht="2.25" customHeight="1">
      <c r="A32" s="374"/>
      <c r="B32" s="374"/>
      <c r="M32" s="246"/>
      <c r="N32" s="1155"/>
      <c r="O32" s="1155"/>
      <c r="P32" s="1466"/>
      <c r="Q32" s="2956"/>
      <c r="R32" s="2957"/>
      <c r="S32" s="2958"/>
      <c r="Z32" s="1618">
        <v>32</v>
      </c>
      <c r="AA32" s="1729">
        <v>31</v>
      </c>
    </row>
    <row r="33" spans="1:27" s="144" customFormat="1">
      <c r="A33" s="374"/>
      <c r="B33" s="222" t="s">
        <v>4546</v>
      </c>
      <c r="D33" s="804"/>
      <c r="E33" s="804"/>
      <c r="F33" s="804"/>
      <c r="G33" s="804"/>
      <c r="H33" s="248"/>
      <c r="J33" s="145"/>
      <c r="K33" s="252"/>
      <c r="P33" s="248"/>
      <c r="Q33" s="2956"/>
      <c r="R33" s="2957"/>
      <c r="S33" s="2958"/>
      <c r="Z33" s="1618">
        <v>33</v>
      </c>
      <c r="AA33" s="1729">
        <v>32</v>
      </c>
    </row>
    <row r="34" spans="1:27" s="144" customFormat="1" ht="1.5" customHeight="1">
      <c r="A34" s="374"/>
      <c r="B34" s="374"/>
      <c r="C34" s="222"/>
      <c r="D34" s="804"/>
      <c r="E34" s="804"/>
      <c r="F34" s="804"/>
      <c r="G34" s="804"/>
      <c r="H34" s="248"/>
      <c r="J34" s="145"/>
      <c r="K34" s="252"/>
      <c r="P34" s="248"/>
      <c r="Q34" s="2956"/>
      <c r="R34" s="2957"/>
      <c r="S34" s="2958"/>
      <c r="Z34" s="1618">
        <v>34</v>
      </c>
      <c r="AA34" s="1729">
        <v>33</v>
      </c>
    </row>
    <row r="35" spans="1:27" s="144" customFormat="1" ht="13.5" hidden="1" customHeight="1">
      <c r="A35" s="374"/>
      <c r="B35" s="374"/>
      <c r="C35" s="144" t="s">
        <v>1206</v>
      </c>
      <c r="D35" s="258"/>
      <c r="I35" s="1189"/>
      <c r="K35" s="243"/>
      <c r="L35" s="144" t="s">
        <v>3002</v>
      </c>
      <c r="P35" s="1802"/>
      <c r="Q35" s="2956"/>
      <c r="R35" s="2957"/>
      <c r="S35" s="2958"/>
      <c r="Z35" s="1618">
        <v>35</v>
      </c>
      <c r="AA35" s="1729">
        <v>34</v>
      </c>
    </row>
    <row r="36" spans="1:27" s="144" customFormat="1" ht="12.75" hidden="1" customHeight="1">
      <c r="A36" s="374"/>
      <c r="B36" s="243"/>
      <c r="C36" s="144" t="s">
        <v>3807</v>
      </c>
      <c r="I36" s="1796"/>
      <c r="J36" s="257" t="s">
        <v>2477</v>
      </c>
      <c r="O36" s="2926"/>
      <c r="P36" s="2927"/>
      <c r="Q36" s="2956"/>
      <c r="R36" s="2957"/>
      <c r="S36" s="2958"/>
      <c r="Z36" s="1618">
        <v>36</v>
      </c>
      <c r="AA36" s="1729">
        <v>35</v>
      </c>
    </row>
    <row r="37" spans="1:27" s="144" customFormat="1" ht="12.75" customHeight="1">
      <c r="A37" s="374"/>
      <c r="B37" s="243"/>
      <c r="C37" s="144" t="s">
        <v>1671</v>
      </c>
      <c r="I37" s="1189" t="s">
        <v>2645</v>
      </c>
      <c r="J37" s="257" t="s">
        <v>2477</v>
      </c>
      <c r="O37" s="2928"/>
      <c r="P37" s="2929"/>
      <c r="Q37" s="2956"/>
      <c r="R37" s="2957"/>
      <c r="S37" s="2958"/>
      <c r="Z37" s="1618">
        <v>37</v>
      </c>
      <c r="AA37" s="1729">
        <v>36</v>
      </c>
    </row>
    <row r="38" spans="1:27" s="144" customFormat="1" ht="12.6" customHeight="1">
      <c r="A38" s="374"/>
      <c r="B38" s="374"/>
      <c r="C38" s="144" t="s">
        <v>2568</v>
      </c>
      <c r="I38" s="849" t="s">
        <v>2645</v>
      </c>
      <c r="J38" s="257" t="s">
        <v>2477</v>
      </c>
      <c r="O38" s="2930"/>
      <c r="P38" s="2931"/>
      <c r="Q38" s="2959"/>
      <c r="R38" s="2960"/>
      <c r="S38" s="2961"/>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2" t="s">
        <v>5229</v>
      </c>
      <c r="B43" s="2933"/>
      <c r="C43" s="2933"/>
      <c r="D43" s="2933"/>
      <c r="E43" s="2933"/>
      <c r="F43" s="2933"/>
      <c r="G43" s="2933"/>
      <c r="H43" s="2933"/>
      <c r="I43" s="2933"/>
      <c r="J43" s="2933"/>
      <c r="K43" s="2933"/>
      <c r="L43" s="2934"/>
      <c r="M43" s="2935"/>
      <c r="N43" s="2936"/>
      <c r="O43" s="2936"/>
      <c r="P43" s="2937"/>
      <c r="Q43" s="2912"/>
      <c r="R43" s="2908"/>
      <c r="S43" s="2908"/>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2553</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2554</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2555</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2556</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2557</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2558</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2559</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2560</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2561</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3207</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4F78ZQWo07Bs1ExpfQQzoHWMBEygkPGvpJzg652Z3n6UTj/s5kaMHadTEFbbdUr1561oCtCknU0QY7BWv1CDuA==" saltValue="1r9hYuZJwJStw0wAhVCNX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36" t="s">
        <v>2575</v>
      </c>
      <c r="B1" s="4636"/>
      <c r="C1" s="4636"/>
      <c r="D1" s="4636"/>
      <c r="E1" s="4636"/>
      <c r="F1" s="4636"/>
      <c r="G1" s="4636"/>
      <c r="H1" s="4636"/>
      <c r="I1" s="4636"/>
      <c r="J1" s="4636"/>
    </row>
    <row r="2" spans="1:16" ht="15.75">
      <c r="A2" s="4636" t="str">
        <f>'Sensitivity Analysis'!C8</f>
        <v>Lewis Crossing</v>
      </c>
      <c r="B2" s="4636"/>
      <c r="C2" s="4636"/>
      <c r="D2" s="4636"/>
      <c r="E2" s="4636"/>
      <c r="F2" s="4636"/>
      <c r="G2" s="4636"/>
      <c r="H2" s="4636"/>
      <c r="I2" s="4636"/>
      <c r="J2" s="4636"/>
    </row>
    <row r="3" spans="1:16" ht="15.75">
      <c r="A3" s="4636" t="str">
        <f>'Subsidy Layering Memo'!F14</f>
        <v>Atlanta, Fulton</v>
      </c>
      <c r="B3" s="4636"/>
      <c r="C3" s="4636"/>
      <c r="D3" s="4636"/>
      <c r="E3" s="4636"/>
      <c r="F3" s="4636"/>
      <c r="G3" s="4636"/>
      <c r="H3" s="4636"/>
      <c r="I3" s="4636"/>
      <c r="J3" s="4636"/>
    </row>
    <row r="4" spans="1:16" ht="15.75">
      <c r="A4" s="4637" t="s">
        <v>2576</v>
      </c>
      <c r="B4" s="4636"/>
      <c r="C4" s="4636"/>
      <c r="D4" s="4636"/>
      <c r="E4" s="4636"/>
      <c r="F4" s="4636"/>
      <c r="G4" s="4636"/>
      <c r="H4" s="4636"/>
      <c r="I4" s="4636"/>
      <c r="J4" s="4636"/>
    </row>
    <row r="5" spans="1:16" ht="5.25" customHeight="1"/>
    <row r="6" spans="1:16" ht="5.25" customHeight="1"/>
    <row r="7" spans="1:16" ht="15.75">
      <c r="A7" s="4638" t="s">
        <v>2577</v>
      </c>
      <c r="B7" s="4638"/>
      <c r="C7" s="4639"/>
      <c r="M7" s="4640"/>
      <c r="N7" s="4640"/>
      <c r="O7" s="4640"/>
      <c r="P7" s="4640"/>
    </row>
    <row r="8" spans="1:16" ht="57" customHeight="1">
      <c r="A8" s="4641" t="s">
        <v>4051</v>
      </c>
      <c r="B8" s="4641"/>
      <c r="C8" s="4641"/>
      <c r="D8" s="4641"/>
      <c r="E8" s="4641"/>
      <c r="F8" s="4641"/>
      <c r="G8" s="4641"/>
      <c r="H8" s="4641"/>
      <c r="I8" s="4641"/>
      <c r="J8" s="4641"/>
      <c r="K8" s="505"/>
    </row>
    <row r="9" spans="1:16" ht="45.75" customHeight="1">
      <c r="A9" s="464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50 units set aside for &lt;&lt; Select PROPOSED Tenancy &gt;&gt;.</v>
      </c>
      <c r="B9" s="4641"/>
      <c r="C9" s="4641"/>
      <c r="D9" s="4641"/>
      <c r="E9" s="4641"/>
      <c r="F9" s="4641"/>
      <c r="G9" s="4641"/>
      <c r="H9" s="4641"/>
      <c r="I9" s="4641"/>
      <c r="J9" s="4641"/>
      <c r="K9" s="505"/>
    </row>
    <row r="10" spans="1:16" ht="15.75">
      <c r="A10" s="506" t="s">
        <v>2578</v>
      </c>
    </row>
    <row r="11" spans="1:16" ht="16.5" customHeight="1">
      <c r="A11" s="4641" t="str">
        <f>'Subsidy Layering Memo'!A50</f>
        <v xml:space="preserve">Ownership entity:  (NAME) LP, a Georgia Limited Partnership, will be the ownership entity for the proposed project. </v>
      </c>
      <c r="B11" s="4643"/>
      <c r="C11" s="4643"/>
      <c r="D11" s="4643"/>
      <c r="E11" s="4643"/>
      <c r="F11" s="4643"/>
      <c r="G11" s="4643"/>
      <c r="H11" s="4643"/>
      <c r="I11" s="4643"/>
      <c r="J11" s="4641"/>
    </row>
    <row r="12" spans="1:16" ht="63.75" customHeight="1">
      <c r="A12" s="464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1"/>
      <c r="C12" s="4641"/>
      <c r="D12" s="4641"/>
      <c r="E12" s="4641"/>
      <c r="F12" s="4641"/>
      <c r="G12" s="4641"/>
      <c r="H12" s="4641"/>
      <c r="I12" s="4641"/>
      <c r="J12" s="4641"/>
    </row>
    <row r="13" spans="1:16" ht="48.75" customHeight="1">
      <c r="A13" s="464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1"/>
      <c r="C13" s="4641"/>
      <c r="D13" s="4641"/>
      <c r="E13" s="4641"/>
      <c r="F13" s="4641"/>
      <c r="G13" s="4641"/>
      <c r="H13" s="4641"/>
      <c r="I13" s="4641"/>
      <c r="J13" s="4641"/>
    </row>
    <row r="14" spans="1:16" ht="15.75">
      <c r="A14" s="506" t="s">
        <v>2579</v>
      </c>
      <c r="B14" s="507"/>
    </row>
    <row r="15" spans="1:16">
      <c r="A15" s="504" t="s">
        <v>2580</v>
      </c>
      <c r="D15" s="1002" t="s">
        <v>2581</v>
      </c>
    </row>
    <row r="16" spans="1:16">
      <c r="A16" s="504" t="s">
        <v>2582</v>
      </c>
      <c r="D16" s="1195">
        <f>'Sensitivity Analysis'!C25</f>
        <v>2200000</v>
      </c>
    </row>
    <row r="17" spans="1:11">
      <c r="A17" s="508" t="s">
        <v>2583</v>
      </c>
      <c r="D17" s="1196">
        <f>'Sensitivity Analysis'!C13</f>
        <v>50</v>
      </c>
    </row>
    <row r="18" spans="1:11" ht="14.25" customHeight="1"/>
    <row r="19" spans="1:11" ht="15.75">
      <c r="A19" s="506" t="s">
        <v>2584</v>
      </c>
      <c r="B19" s="507"/>
      <c r="C19" s="507"/>
    </row>
    <row r="20" spans="1:11" ht="48.75" customHeight="1">
      <c r="A20" s="464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4"/>
      <c r="C20" s="4644"/>
      <c r="D20" s="4644"/>
      <c r="E20" s="4644"/>
      <c r="F20" s="4644"/>
      <c r="G20" s="4644"/>
      <c r="H20" s="4644"/>
      <c r="I20" s="4644"/>
      <c r="J20" s="4644"/>
    </row>
    <row r="21" spans="1:11" ht="72.75" customHeight="1">
      <c r="A21" s="4641" t="str">
        <f>'Subsidy Layering Memo'!A67</f>
        <v xml:space="preserve"> will make a capital contribution totaling 11473853 via the syndication of the 2024 Federal LIHTC allocation of 1350000 per annum. will make a capital contribution totaling 6615000 via the syndication of the 2024 State LIHTC allocation of 1350000 per annum.</v>
      </c>
      <c r="B21" s="4641"/>
      <c r="C21" s="4641"/>
      <c r="D21" s="4641"/>
      <c r="E21" s="4641"/>
      <c r="F21" s="4641"/>
      <c r="G21" s="4641"/>
      <c r="H21" s="4641"/>
      <c r="I21" s="4641"/>
      <c r="J21" s="4641"/>
    </row>
    <row r="22" spans="1:11" ht="43.5" customHeight="1">
      <c r="A22" s="4645" t="str">
        <f>'Subsidy Layering Memo'!A68</f>
        <v xml:space="preserve">The total equity price per credit will be 1.34 (0.85 Federal tax credit and 0.49 State tax credit) for a (X%) ownership interest of the Federal Credits and a (X%) ownership interest of the State Credits. </v>
      </c>
      <c r="B22" s="4645"/>
      <c r="C22" s="4645"/>
      <c r="D22" s="4645"/>
      <c r="E22" s="4645"/>
      <c r="F22" s="4645"/>
      <c r="G22" s="4645"/>
      <c r="H22" s="4645"/>
      <c r="I22" s="4645"/>
      <c r="J22" s="4645"/>
    </row>
    <row r="23" spans="1:11" ht="15.75">
      <c r="A23" s="506" t="s">
        <v>4052</v>
      </c>
      <c r="B23" s="507"/>
      <c r="C23" s="507"/>
      <c r="D23" s="507"/>
      <c r="E23" s="507"/>
      <c r="F23" s="507"/>
    </row>
    <row r="24" spans="1:11" ht="102.75" customHeight="1">
      <c r="A24" s="46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1"/>
      <c r="C24" s="4641"/>
      <c r="D24" s="4641"/>
      <c r="E24" s="4641"/>
      <c r="F24" s="4641"/>
      <c r="G24" s="4641"/>
      <c r="H24" s="4641"/>
      <c r="I24" s="4641"/>
      <c r="J24" s="4641"/>
    </row>
    <row r="25" spans="1:11" ht="15" customHeight="1">
      <c r="A25" s="4642"/>
      <c r="B25" s="4642"/>
      <c r="C25" s="4642"/>
      <c r="D25" s="4642"/>
      <c r="E25" s="4642"/>
      <c r="F25" s="4642"/>
      <c r="G25" s="4642"/>
      <c r="H25" s="4642"/>
      <c r="I25" s="4642"/>
      <c r="J25" s="4642"/>
      <c r="K25" s="504" t="s">
        <v>233</v>
      </c>
    </row>
    <row r="26" spans="1:11" ht="15" customHeight="1">
      <c r="B26" s="1001"/>
      <c r="C26" s="1001"/>
      <c r="D26" s="1001"/>
      <c r="E26" s="1001"/>
      <c r="F26" s="1001"/>
      <c r="G26" s="1001"/>
      <c r="H26" s="1001"/>
      <c r="I26" s="1001" t="s">
        <v>233</v>
      </c>
      <c r="J26" s="1001"/>
    </row>
    <row r="27" spans="1:11" ht="15.75">
      <c r="A27" s="507" t="s">
        <v>2585</v>
      </c>
    </row>
    <row r="29" spans="1:11" ht="15.75" thickBot="1">
      <c r="A29" s="509"/>
      <c r="B29" s="509"/>
      <c r="C29" s="509"/>
      <c r="D29" s="509"/>
      <c r="F29" s="509"/>
      <c r="G29" s="509"/>
      <c r="H29" s="509"/>
      <c r="I29" s="509"/>
    </row>
    <row r="30" spans="1:11">
      <c r="A30" s="504" t="s">
        <v>2586</v>
      </c>
      <c r="D30" s="504" t="s">
        <v>866</v>
      </c>
      <c r="F30" s="504" t="s">
        <v>2587</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2588</v>
      </c>
      <c r="B2" s="511"/>
      <c r="C2" s="511"/>
      <c r="D2" s="511"/>
      <c r="E2" s="512"/>
      <c r="F2" s="511"/>
      <c r="G2" s="511"/>
      <c r="H2" s="511"/>
      <c r="I2" s="511"/>
      <c r="J2" s="511"/>
    </row>
    <row r="3" spans="1:10" ht="15">
      <c r="A3" s="514"/>
    </row>
    <row r="4" spans="1:10" ht="15">
      <c r="A4" s="514" t="s">
        <v>2589</v>
      </c>
      <c r="D4" s="513" t="s">
        <v>2590</v>
      </c>
    </row>
    <row r="5" spans="1:10" ht="15">
      <c r="A5" s="514"/>
    </row>
    <row r="6" spans="1:10" ht="15">
      <c r="A6" s="514" t="s">
        <v>2591</v>
      </c>
      <c r="D6" s="513" t="s">
        <v>2592</v>
      </c>
    </row>
    <row r="7" spans="1:10" ht="15">
      <c r="A7" s="514"/>
    </row>
    <row r="8" spans="1:10" ht="15">
      <c r="A8" s="514" t="s">
        <v>2593</v>
      </c>
      <c r="D8" s="515" t="s">
        <v>2594</v>
      </c>
    </row>
    <row r="9" spans="1:10" ht="15">
      <c r="A9" s="514"/>
    </row>
    <row r="10" spans="1:10" ht="15">
      <c r="A10" s="514" t="s">
        <v>2595</v>
      </c>
      <c r="D10" s="515" t="s">
        <v>2596</v>
      </c>
    </row>
    <row r="11" spans="1:10" ht="15">
      <c r="A11" s="514"/>
      <c r="D11" s="1003"/>
    </row>
    <row r="12" spans="1:10" ht="15">
      <c r="A12" s="514" t="s">
        <v>2597</v>
      </c>
      <c r="D12" s="513" t="s">
        <v>573</v>
      </c>
      <c r="F12" s="1003" t="str">
        <f>'Sensitivity Analysis'!$C$8</f>
        <v>Lewis Crossing</v>
      </c>
    </row>
    <row r="13" spans="1:10" ht="15">
      <c r="A13" s="514"/>
      <c r="D13" s="513" t="s">
        <v>2598</v>
      </c>
      <c r="F13" s="1003" t="str">
        <f>'Sensitivity Analysis'!E8</f>
        <v>2024-0</v>
      </c>
    </row>
    <row r="14" spans="1:10" ht="15">
      <c r="A14" s="514"/>
      <c r="D14" s="513" t="s">
        <v>2599</v>
      </c>
      <c r="F14" s="1003" t="str">
        <f>'Sensitivity Analysis'!H8</f>
        <v>Atlanta, Fulton</v>
      </c>
    </row>
    <row r="15" spans="1:10" ht="15">
      <c r="A15" s="514"/>
      <c r="D15" s="513" t="s">
        <v>2882</v>
      </c>
      <c r="F15" s="4655">
        <f>'Sensitivity Analysis'!$C$25</f>
        <v>2200000</v>
      </c>
      <c r="G15" s="4655"/>
      <c r="H15" s="4655"/>
    </row>
    <row r="16" spans="1:10">
      <c r="D16" s="516" t="s">
        <v>4944</v>
      </c>
      <c r="F16" s="2390">
        <f>'Sensitivity Analysis'!C13</f>
        <v>50</v>
      </c>
      <c r="G16" s="2388">
        <f>'Sensitivity Analysis'!E13</f>
        <v>50</v>
      </c>
      <c r="H16" s="2389">
        <f>ProrationMethodCostAllocatnDCA!$D$64</f>
        <v>0</v>
      </c>
    </row>
    <row r="17" spans="1:18">
      <c r="A17" s="516"/>
      <c r="D17" s="516" t="s">
        <v>2569</v>
      </c>
      <c r="F17" s="517" t="str">
        <f>'Sensitivity Analysis'!C14</f>
        <v>&lt;&lt; Select PROPOSED Tenancy &gt;&gt;</v>
      </c>
    </row>
    <row r="18" spans="1:18" ht="15">
      <c r="A18" s="514"/>
      <c r="D18" s="516" t="s">
        <v>2886</v>
      </c>
      <c r="F18" s="1003" t="str">
        <f>'Sensitivity Analysis'!H15</f>
        <v>Urban</v>
      </c>
    </row>
    <row r="19" spans="1:18" ht="15">
      <c r="A19" s="514"/>
      <c r="D19" s="516" t="s">
        <v>2883</v>
      </c>
      <c r="F19" s="1003">
        <f>'Sensitivity Analysis'!E16</f>
        <v>0</v>
      </c>
    </row>
    <row r="20" spans="1:18" ht="15">
      <c r="A20" s="514"/>
      <c r="D20" s="516"/>
    </row>
    <row r="21" spans="1:18" ht="15">
      <c r="A21" s="519" t="s">
        <v>4054</v>
      </c>
    </row>
    <row r="22" spans="1:18" ht="111.75" customHeight="1">
      <c r="A22" s="4647" t="s">
        <v>3015</v>
      </c>
      <c r="B22" s="4647"/>
      <c r="C22" s="4647"/>
      <c r="D22" s="4647"/>
      <c r="E22" s="4647"/>
      <c r="F22" s="4647"/>
      <c r="G22" s="4647"/>
      <c r="H22" s="4647"/>
      <c r="I22" s="4647"/>
      <c r="J22" s="4647"/>
      <c r="K22" s="4646" t="s">
        <v>3773</v>
      </c>
      <c r="L22" s="4646"/>
      <c r="M22" s="4646"/>
      <c r="N22" s="4646"/>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8"/>
      <c r="B24" s="4648"/>
      <c r="C24" s="4648"/>
      <c r="D24" s="4648"/>
      <c r="E24" s="4648"/>
      <c r="F24" s="4648"/>
      <c r="G24" s="4648"/>
      <c r="H24" s="4648"/>
      <c r="I24" s="4648"/>
      <c r="J24" s="4648"/>
    </row>
    <row r="25" spans="1:18" ht="10.5" hidden="1" customHeight="1">
      <c r="A25" s="4645"/>
      <c r="B25" s="4645"/>
      <c r="C25" s="4645"/>
      <c r="D25" s="4645"/>
      <c r="E25" s="4645"/>
      <c r="F25" s="4645"/>
      <c r="G25" s="4645"/>
      <c r="H25" s="4645"/>
      <c r="I25" s="4645"/>
      <c r="J25" s="4645"/>
    </row>
    <row r="26" spans="1:18" ht="15">
      <c r="A26" s="519" t="s">
        <v>4053</v>
      </c>
    </row>
    <row r="27" spans="1:18" ht="14.25" customHeight="1">
      <c r="A27" s="4649" t="s">
        <v>4055</v>
      </c>
      <c r="B27" s="4649"/>
      <c r="C27" s="4649"/>
      <c r="D27" s="4649"/>
      <c r="E27" s="4649"/>
      <c r="F27" s="4649"/>
      <c r="G27" s="4649"/>
      <c r="H27" s="4649"/>
      <c r="I27" s="4649"/>
      <c r="J27" s="4649"/>
    </row>
    <row r="28" spans="1:18" ht="14.25" customHeight="1">
      <c r="A28" s="4649"/>
      <c r="B28" s="4649"/>
      <c r="C28" s="4649"/>
      <c r="D28" s="4649"/>
      <c r="E28" s="4649"/>
      <c r="F28" s="4649"/>
      <c r="G28" s="4649"/>
      <c r="H28" s="4649"/>
      <c r="I28" s="4649"/>
      <c r="J28" s="4649"/>
    </row>
    <row r="29" spans="1:18" ht="6.75" customHeight="1">
      <c r="A29" s="4649"/>
      <c r="B29" s="4649"/>
      <c r="C29" s="4649"/>
      <c r="D29" s="4649"/>
      <c r="E29" s="4649"/>
      <c r="F29" s="4649"/>
      <c r="G29" s="4649"/>
      <c r="H29" s="4649"/>
      <c r="I29" s="4649"/>
      <c r="J29" s="4649"/>
    </row>
    <row r="30" spans="1:18" ht="21.75" customHeight="1">
      <c r="A30" s="4649"/>
      <c r="B30" s="4649"/>
      <c r="C30" s="4649"/>
      <c r="D30" s="4649"/>
      <c r="E30" s="4649"/>
      <c r="F30" s="4649"/>
      <c r="G30" s="4649"/>
      <c r="H30" s="4649"/>
      <c r="I30" s="4649"/>
      <c r="J30" s="4649"/>
    </row>
    <row r="31" spans="1:18" ht="20.25" customHeight="1">
      <c r="A31" s="4649"/>
      <c r="B31" s="4649"/>
      <c r="C31" s="4649"/>
      <c r="D31" s="4649"/>
      <c r="E31" s="4649"/>
      <c r="F31" s="4649"/>
      <c r="G31" s="4649"/>
      <c r="H31" s="4649"/>
      <c r="I31" s="4649"/>
      <c r="J31" s="4649"/>
    </row>
    <row r="32" spans="1:18" ht="54.75" customHeight="1">
      <c r="A32" s="4649"/>
      <c r="B32" s="4649"/>
      <c r="C32" s="4649"/>
      <c r="D32" s="4649"/>
      <c r="E32" s="4649"/>
      <c r="F32" s="4649"/>
      <c r="G32" s="4649"/>
      <c r="H32" s="4649"/>
      <c r="I32" s="4649"/>
      <c r="J32" s="4649"/>
    </row>
    <row r="33" spans="1:10" ht="0.75" hidden="1" customHeight="1">
      <c r="A33" s="4649"/>
      <c r="B33" s="4649"/>
      <c r="C33" s="4649"/>
      <c r="D33" s="4649"/>
      <c r="E33" s="4649"/>
      <c r="F33" s="4649"/>
      <c r="G33" s="4649"/>
      <c r="H33" s="4649"/>
      <c r="I33" s="4649"/>
      <c r="J33" s="4649"/>
    </row>
    <row r="34" spans="1:10" ht="3.75" hidden="1" customHeight="1">
      <c r="A34" s="4649"/>
      <c r="B34" s="4649"/>
      <c r="C34" s="4649"/>
      <c r="D34" s="4649"/>
      <c r="E34" s="4649"/>
      <c r="F34" s="4649"/>
      <c r="G34" s="4649"/>
      <c r="H34" s="4649"/>
      <c r="I34" s="4649"/>
      <c r="J34" s="4649"/>
    </row>
    <row r="35" spans="1:10" ht="5.25" customHeight="1">
      <c r="A35" s="1192"/>
      <c r="B35" s="1192"/>
      <c r="C35" s="1192"/>
      <c r="D35" s="1192"/>
      <c r="E35" s="1192"/>
      <c r="F35" s="1192"/>
      <c r="G35" s="1192"/>
      <c r="H35" s="1192"/>
      <c r="I35" s="1192"/>
      <c r="J35" s="1192"/>
    </row>
    <row r="36" spans="1:10" ht="19.5" customHeight="1">
      <c r="A36" s="4648" t="s">
        <v>4056</v>
      </c>
      <c r="B36" s="4648"/>
      <c r="C36" s="4648"/>
      <c r="D36" s="1190"/>
      <c r="E36" s="1190"/>
      <c r="F36" s="1190"/>
      <c r="G36" s="1190"/>
      <c r="H36" s="1190"/>
      <c r="I36" s="1190"/>
      <c r="J36" s="1190"/>
    </row>
    <row r="37" spans="1:10" ht="22.5" customHeight="1">
      <c r="A37" s="4645" t="s">
        <v>1611</v>
      </c>
      <c r="B37" s="4645"/>
      <c r="C37" s="4645"/>
      <c r="D37" s="4645"/>
      <c r="E37" s="4645"/>
      <c r="F37" s="4645"/>
      <c r="G37" s="4645"/>
      <c r="H37" s="4645"/>
      <c r="I37" s="4645"/>
      <c r="J37" s="4645"/>
    </row>
    <row r="38" spans="1:10" ht="22.5" customHeight="1">
      <c r="A38" s="4645" t="s">
        <v>1612</v>
      </c>
      <c r="B38" s="4645"/>
      <c r="C38" s="4645"/>
      <c r="D38" s="4645"/>
      <c r="E38" s="4645"/>
      <c r="F38" s="4645"/>
      <c r="G38" s="4645"/>
      <c r="H38" s="4645"/>
      <c r="I38" s="4645"/>
      <c r="J38" s="4645"/>
    </row>
    <row r="39" spans="1:10" ht="22.5" customHeight="1">
      <c r="A39" s="4645" t="s">
        <v>1613</v>
      </c>
      <c r="B39" s="4645"/>
      <c r="C39" s="4645"/>
      <c r="D39" s="4645"/>
      <c r="E39" s="4645"/>
      <c r="F39" s="4645"/>
      <c r="G39" s="4645"/>
      <c r="H39" s="4645"/>
      <c r="I39" s="4645"/>
      <c r="J39" s="4645"/>
    </row>
    <row r="40" spans="1:10" ht="22.5" customHeight="1">
      <c r="A40" s="4645" t="s">
        <v>2176</v>
      </c>
      <c r="B40" s="4645"/>
      <c r="C40" s="4645"/>
      <c r="D40" s="4645"/>
      <c r="E40" s="4645"/>
      <c r="F40" s="4645"/>
      <c r="G40" s="4645"/>
      <c r="H40" s="4645"/>
      <c r="I40" s="4645"/>
      <c r="J40" s="4645"/>
    </row>
    <row r="41" spans="1:10" ht="22.5" customHeight="1">
      <c r="A41" s="4645" t="s">
        <v>1446</v>
      </c>
      <c r="B41" s="4645"/>
      <c r="C41" s="4645"/>
      <c r="D41" s="4645"/>
      <c r="E41" s="4645"/>
      <c r="F41" s="4645"/>
      <c r="G41" s="4645"/>
      <c r="H41" s="4645"/>
      <c r="I41" s="4645"/>
      <c r="J41" s="4645"/>
    </row>
    <row r="42" spans="1:10" ht="22.5" customHeight="1">
      <c r="A42" s="4645" t="s">
        <v>1447</v>
      </c>
      <c r="B42" s="4645"/>
      <c r="C42" s="4645"/>
      <c r="D42" s="4645"/>
      <c r="E42" s="4645"/>
      <c r="F42" s="4645"/>
      <c r="G42" s="4645"/>
      <c r="H42" s="4645"/>
      <c r="I42" s="4645"/>
      <c r="J42" s="4645"/>
    </row>
    <row r="43" spans="1:10" ht="22.5" customHeight="1">
      <c r="A43" s="4645" t="s">
        <v>93</v>
      </c>
      <c r="B43" s="4645"/>
      <c r="C43" s="4645"/>
      <c r="D43" s="4645"/>
      <c r="E43" s="4645"/>
      <c r="F43" s="4645"/>
      <c r="G43" s="4645"/>
      <c r="H43" s="4645"/>
      <c r="I43" s="4645"/>
      <c r="J43" s="4645"/>
    </row>
    <row r="44" spans="1:10" ht="22.5" customHeight="1">
      <c r="A44" s="4645" t="s">
        <v>480</v>
      </c>
      <c r="B44" s="4645"/>
      <c r="C44" s="4645"/>
      <c r="D44" s="4645"/>
      <c r="E44" s="4645"/>
      <c r="F44" s="4645"/>
      <c r="G44" s="4645"/>
      <c r="H44" s="4645"/>
      <c r="I44" s="4645"/>
      <c r="J44" s="4645"/>
    </row>
    <row r="45" spans="1:10" ht="2.25" customHeight="1">
      <c r="A45" s="1190"/>
      <c r="B45" s="1190"/>
      <c r="C45" s="1190"/>
      <c r="D45" s="1190"/>
      <c r="E45" s="1190"/>
      <c r="F45" s="1190"/>
      <c r="G45" s="1190"/>
      <c r="H45" s="1190"/>
      <c r="I45" s="1190"/>
      <c r="J45" s="1190"/>
    </row>
    <row r="46" spans="1:10" ht="15">
      <c r="A46" s="519" t="s">
        <v>2600</v>
      </c>
    </row>
    <row r="47" spans="1:10" ht="135" customHeight="1">
      <c r="A47" s="4645" t="s">
        <v>4945</v>
      </c>
      <c r="B47" s="4645"/>
      <c r="C47" s="4645"/>
      <c r="D47" s="4645"/>
      <c r="E47" s="4645"/>
      <c r="F47" s="4645"/>
      <c r="G47" s="4645"/>
      <c r="H47" s="4645"/>
      <c r="I47" s="4645"/>
      <c r="J47" s="4645"/>
    </row>
    <row r="48" spans="1:10" ht="6" customHeight="1">
      <c r="A48" s="1191"/>
      <c r="B48" s="1191"/>
      <c r="C48" s="1191"/>
      <c r="D48" s="1191"/>
      <c r="E48" s="1191"/>
      <c r="F48" s="1191"/>
      <c r="G48" s="1191"/>
      <c r="H48" s="1191"/>
      <c r="I48" s="1191"/>
      <c r="J48" s="1191"/>
    </row>
    <row r="49" spans="1:12" ht="15">
      <c r="A49" s="519" t="s">
        <v>2601</v>
      </c>
    </row>
    <row r="50" spans="1:12" ht="33" customHeight="1">
      <c r="A50" s="4641" t="s">
        <v>3364</v>
      </c>
      <c r="B50" s="4643"/>
      <c r="C50" s="4643"/>
      <c r="D50" s="4643"/>
      <c r="E50" s="4643"/>
      <c r="F50" s="4643"/>
      <c r="G50" s="4643"/>
      <c r="H50" s="4643"/>
      <c r="I50" s="4643"/>
      <c r="J50" s="4641"/>
    </row>
    <row r="51" spans="1:12" ht="3" customHeight="1"/>
    <row r="52" spans="1:12" ht="72.75" customHeight="1">
      <c r="A52" s="4641" t="s">
        <v>3365</v>
      </c>
      <c r="B52" s="4641"/>
      <c r="C52" s="4641"/>
      <c r="D52" s="4641"/>
      <c r="E52" s="4641"/>
      <c r="F52" s="4641"/>
      <c r="G52" s="4641"/>
      <c r="H52" s="4641"/>
      <c r="I52" s="4641"/>
      <c r="J52" s="4641"/>
    </row>
    <row r="53" spans="1:12" ht="3" customHeight="1">
      <c r="A53" s="1190"/>
      <c r="B53" s="1190"/>
      <c r="C53" s="1190"/>
      <c r="D53" s="1190"/>
      <c r="E53" s="1190"/>
      <c r="F53" s="1190"/>
      <c r="G53" s="1190"/>
      <c r="H53" s="1190"/>
      <c r="I53" s="1190"/>
      <c r="J53" s="1190"/>
    </row>
    <row r="54" spans="1:12" ht="56.25" customHeight="1">
      <c r="A54" s="4641" t="s">
        <v>3366</v>
      </c>
      <c r="B54" s="4641"/>
      <c r="C54" s="4641"/>
      <c r="D54" s="4641"/>
      <c r="E54" s="4641"/>
      <c r="F54" s="4641"/>
      <c r="G54" s="4641"/>
      <c r="H54" s="4641"/>
      <c r="I54" s="4641"/>
      <c r="J54" s="4641"/>
    </row>
    <row r="55" spans="1:12" ht="3" customHeight="1">
      <c r="A55" s="1190"/>
      <c r="B55" s="1190"/>
      <c r="C55" s="1190"/>
      <c r="D55" s="1190"/>
      <c r="E55" s="1190"/>
      <c r="F55" s="1190"/>
      <c r="G55" s="1190"/>
      <c r="H55" s="1190"/>
      <c r="I55" s="1190"/>
      <c r="J55" s="1190"/>
    </row>
    <row r="56" spans="1:12" ht="49.5" customHeight="1">
      <c r="A56" s="4641" t="s">
        <v>3367</v>
      </c>
      <c r="B56" s="4641"/>
      <c r="C56" s="4641"/>
      <c r="D56" s="4641"/>
      <c r="E56" s="4641"/>
      <c r="F56" s="4641"/>
      <c r="G56" s="4641"/>
      <c r="H56" s="4641"/>
      <c r="I56" s="4641"/>
      <c r="J56" s="1190"/>
    </row>
    <row r="57" spans="1:12" ht="3" customHeight="1">
      <c r="A57" s="1190"/>
      <c r="B57" s="1190"/>
      <c r="C57" s="1190"/>
      <c r="D57" s="1190"/>
      <c r="E57" s="1190"/>
      <c r="F57" s="1190"/>
      <c r="G57" s="1190"/>
      <c r="H57" s="1190"/>
      <c r="I57" s="1190"/>
      <c r="J57" s="1190"/>
    </row>
    <row r="58" spans="1:12" ht="54.75" customHeight="1">
      <c r="A58" s="4660" t="s">
        <v>2890</v>
      </c>
      <c r="B58" s="4641"/>
      <c r="C58" s="4641"/>
      <c r="D58" s="4641"/>
      <c r="E58" s="4641"/>
      <c r="F58" s="4641"/>
      <c r="G58" s="4641"/>
      <c r="H58" s="4641"/>
      <c r="I58" s="4641"/>
      <c r="J58" s="1190"/>
    </row>
    <row r="59" spans="1:12" ht="3" customHeight="1">
      <c r="A59" s="1190"/>
      <c r="B59" s="1190"/>
      <c r="C59" s="1190"/>
      <c r="D59" s="1190"/>
      <c r="E59" s="1190"/>
      <c r="F59" s="1190"/>
      <c r="G59" s="1190"/>
      <c r="H59" s="1190"/>
      <c r="I59" s="1190"/>
      <c r="J59" s="1190"/>
    </row>
    <row r="60" spans="1:12" ht="62.25" customHeight="1">
      <c r="A60" s="4641" t="s">
        <v>3368</v>
      </c>
      <c r="B60" s="4641"/>
      <c r="C60" s="4641"/>
      <c r="D60" s="4641"/>
      <c r="E60" s="4641"/>
      <c r="F60" s="4641"/>
      <c r="G60" s="4641"/>
      <c r="H60" s="4641"/>
      <c r="I60" s="4641"/>
      <c r="J60" s="4641"/>
    </row>
    <row r="61" spans="1:12" ht="3" customHeight="1"/>
    <row r="62" spans="1:12" ht="73.5" customHeight="1">
      <c r="A62" s="4641" t="s">
        <v>3369</v>
      </c>
      <c r="B62" s="4641"/>
      <c r="C62" s="4641"/>
      <c r="D62" s="4641"/>
      <c r="E62" s="4641"/>
      <c r="F62" s="4641"/>
      <c r="G62" s="4641"/>
      <c r="H62" s="4641"/>
      <c r="I62" s="4641"/>
      <c r="J62" s="4641"/>
    </row>
    <row r="63" spans="1:12" ht="6" customHeight="1">
      <c r="A63" s="1190" t="s">
        <v>233</v>
      </c>
      <c r="B63" s="1190"/>
      <c r="C63" s="1190"/>
      <c r="D63" s="1190"/>
      <c r="E63" s="1190"/>
      <c r="F63" s="1190"/>
      <c r="G63" s="1190"/>
      <c r="H63" s="1190"/>
      <c r="I63" s="1190"/>
      <c r="J63" s="1190"/>
    </row>
    <row r="64" spans="1:12" ht="15">
      <c r="A64" s="519" t="s">
        <v>2602</v>
      </c>
      <c r="L64" s="520" t="s">
        <v>3007</v>
      </c>
    </row>
    <row r="65" spans="1:17" ht="46.5" customHeight="1">
      <c r="A65" s="4647" t="s">
        <v>2603</v>
      </c>
      <c r="B65" s="4647"/>
      <c r="C65" s="4647"/>
      <c r="D65" s="4647"/>
      <c r="E65" s="4647"/>
      <c r="F65" s="4647"/>
      <c r="G65" s="4647"/>
      <c r="H65" s="4647"/>
      <c r="I65" s="4647"/>
      <c r="J65" s="4647"/>
      <c r="L65" s="521">
        <f>'Closing term sheet'!C135</f>
        <v>552577</v>
      </c>
      <c r="M65" s="522"/>
      <c r="N65" s="522"/>
      <c r="O65" s="522"/>
    </row>
    <row r="66" spans="1:17" ht="7.5" customHeight="1">
      <c r="A66" s="1190"/>
      <c r="B66" s="1190"/>
      <c r="C66" s="1190"/>
      <c r="D66" s="1190"/>
      <c r="E66" s="1190"/>
      <c r="F66" s="1190"/>
      <c r="G66" s="1190"/>
      <c r="H66" s="1190"/>
      <c r="I66" s="1190"/>
      <c r="J66" s="1190"/>
      <c r="L66" s="523" t="s">
        <v>3008</v>
      </c>
      <c r="M66" s="524" t="s">
        <v>3013</v>
      </c>
      <c r="N66" s="525" t="s">
        <v>3010</v>
      </c>
      <c r="O66" s="523" t="s">
        <v>3009</v>
      </c>
      <c r="P66" s="524" t="s">
        <v>3012</v>
      </c>
      <c r="Q66" s="525" t="s">
        <v>3011</v>
      </c>
    </row>
    <row r="67" spans="1:17" ht="78.75" customHeight="1">
      <c r="A67" s="464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11473853 via the syndication of the 2024 Federal LIHTC allocation of 1350000 per annum. will make a capital contribution totaling 6615000 via the syndication of the 2024 State LIHTC allocation of 1350000 per annum.</v>
      </c>
      <c r="B67" s="4641"/>
      <c r="C67" s="4641"/>
      <c r="D67" s="4641"/>
      <c r="E67" s="4641"/>
      <c r="F67" s="4641"/>
      <c r="G67" s="4641"/>
      <c r="H67" s="4641"/>
      <c r="I67" s="4641"/>
      <c r="J67" s="526"/>
      <c r="L67" s="2391">
        <f>'Part II-Sources of Funds'!I51</f>
        <v>11473853</v>
      </c>
      <c r="M67" s="2392">
        <f>'Part III-A-Uses of Funds'!$J$191</f>
        <v>1350000</v>
      </c>
      <c r="N67" s="2393">
        <f>'Part III-A-Uses of Funds'!N182</f>
        <v>0.85</v>
      </c>
      <c r="O67" s="2391">
        <f>'Part II-Sources of Funds'!I52</f>
        <v>6615000</v>
      </c>
      <c r="P67" s="2392">
        <f>M67</f>
        <v>1350000</v>
      </c>
      <c r="Q67" s="2393">
        <f>'Part III-A-Uses of Funds'!Q182</f>
        <v>0.49</v>
      </c>
    </row>
    <row r="68" spans="1:17" ht="39.75" customHeight="1">
      <c r="A68" s="464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(0.85 Federal tax credit and 0.49 State tax credit) for a (X%) ownership interest of the Federal Credits and a (X%) ownership interest of the State Credits. </v>
      </c>
      <c r="B68" s="4645"/>
      <c r="C68" s="4645"/>
      <c r="D68" s="4645"/>
      <c r="E68" s="4645"/>
      <c r="F68" s="4645"/>
      <c r="G68" s="4645"/>
      <c r="H68" s="4645"/>
      <c r="I68" s="4645"/>
      <c r="J68" s="526"/>
      <c r="L68" s="1467"/>
      <c r="M68" s="1467"/>
      <c r="N68" s="623"/>
      <c r="O68" s="1467"/>
      <c r="P68" s="1467"/>
      <c r="Q68" s="623"/>
    </row>
    <row r="69" spans="1:17" ht="18.75" customHeight="1">
      <c r="A69" s="527" t="s">
        <v>2604</v>
      </c>
    </row>
    <row r="70" spans="1:17" ht="177" customHeight="1">
      <c r="A70" s="4641" t="s">
        <v>4946</v>
      </c>
      <c r="B70" s="4641"/>
      <c r="C70" s="4641"/>
      <c r="D70" s="4641"/>
      <c r="E70" s="4641"/>
      <c r="F70" s="4641"/>
      <c r="G70" s="4641"/>
      <c r="H70" s="4641"/>
      <c r="I70" s="4641"/>
      <c r="J70" s="4641"/>
      <c r="L70" s="528">
        <f>'Part VI-Pro Forma'!K72</f>
        <v>1813224.0627545342</v>
      </c>
      <c r="M70" s="4654" t="s">
        <v>3014</v>
      </c>
      <c r="N70" s="4646"/>
    </row>
    <row r="71" spans="1:17" ht="6" customHeight="1">
      <c r="A71" s="519"/>
    </row>
    <row r="72" spans="1:17" ht="15">
      <c r="A72" s="519" t="s">
        <v>2605</v>
      </c>
    </row>
    <row r="73" spans="1:17" ht="72.599999999999994" customHeight="1">
      <c r="A73" s="4641" t="s">
        <v>2606</v>
      </c>
      <c r="B73" s="4641"/>
      <c r="C73" s="4641"/>
      <c r="D73" s="4641"/>
      <c r="E73" s="4641"/>
      <c r="F73" s="4641"/>
      <c r="G73" s="4641"/>
      <c r="H73" s="4641"/>
      <c r="I73" s="4641"/>
      <c r="J73" s="4641"/>
    </row>
    <row r="74" spans="1:17" ht="36" customHeight="1">
      <c r="A74" s="4641" t="s">
        <v>2607</v>
      </c>
      <c r="B74" s="4641"/>
      <c r="C74" s="4641"/>
      <c r="D74" s="4641"/>
      <c r="E74" s="4641"/>
      <c r="F74" s="4641"/>
      <c r="G74" s="4641"/>
      <c r="H74" s="4641"/>
      <c r="I74" s="4641"/>
      <c r="J74" s="4641"/>
    </row>
    <row r="75" spans="1:17" ht="6" customHeight="1">
      <c r="A75" s="519"/>
    </row>
    <row r="76" spans="1:17" ht="15">
      <c r="A76" s="519" t="s">
        <v>2608</v>
      </c>
    </row>
    <row r="77" spans="1:17" ht="105.75" customHeight="1">
      <c r="A77" s="4641" t="s">
        <v>2609</v>
      </c>
      <c r="B77" s="4641"/>
      <c r="C77" s="4641"/>
      <c r="D77" s="4641"/>
      <c r="E77" s="4641"/>
      <c r="F77" s="4641"/>
      <c r="G77" s="4641"/>
      <c r="H77" s="4641"/>
      <c r="I77" s="4641"/>
      <c r="J77" s="4641"/>
    </row>
    <row r="78" spans="1:17" ht="6" customHeight="1">
      <c r="A78" s="519"/>
    </row>
    <row r="79" spans="1:17" ht="15">
      <c r="A79" s="519" t="s">
        <v>2610</v>
      </c>
    </row>
    <row r="80" spans="1:17" ht="66" customHeight="1">
      <c r="A80" s="4641" t="s">
        <v>2611</v>
      </c>
      <c r="B80" s="4641"/>
      <c r="C80" s="4641"/>
      <c r="D80" s="4641"/>
      <c r="E80" s="4641"/>
      <c r="F80" s="4641"/>
      <c r="G80" s="4641"/>
      <c r="H80" s="4641"/>
      <c r="I80" s="4641"/>
      <c r="J80" s="4641"/>
    </row>
    <row r="81" spans="1:15" s="1192" customFormat="1" ht="6" customHeight="1">
      <c r="A81" s="4641"/>
      <c r="B81" s="4641"/>
      <c r="C81" s="4641"/>
      <c r="D81" s="4641"/>
      <c r="E81" s="4641"/>
      <c r="F81" s="4641"/>
      <c r="G81" s="4641"/>
      <c r="H81" s="4641"/>
      <c r="I81" s="4641"/>
      <c r="J81" s="4641"/>
    </row>
    <row r="82" spans="1:15" ht="16.5" customHeight="1">
      <c r="A82" s="1193" t="s">
        <v>2612</v>
      </c>
      <c r="B82" s="518"/>
      <c r="C82" s="518"/>
      <c r="D82" s="1003"/>
      <c r="E82" s="518"/>
      <c r="F82" s="518"/>
      <c r="G82" s="518"/>
      <c r="H82" s="518"/>
      <c r="I82" s="518"/>
      <c r="J82" s="529"/>
    </row>
    <row r="83" spans="1:15" s="1192" customFormat="1" ht="63" customHeight="1">
      <c r="A83" s="4641" t="s">
        <v>3540</v>
      </c>
      <c r="B83" s="4641"/>
      <c r="C83" s="4641"/>
      <c r="D83" s="4641"/>
      <c r="E83" s="4641"/>
      <c r="F83" s="4641"/>
      <c r="G83" s="4641"/>
      <c r="H83" s="4641"/>
      <c r="I83" s="4641"/>
      <c r="J83" s="4641"/>
    </row>
    <row r="84" spans="1:15" s="1192" customFormat="1" ht="6" customHeight="1">
      <c r="A84" s="1190"/>
      <c r="B84" s="1190"/>
      <c r="C84" s="1190"/>
      <c r="D84" s="1190"/>
      <c r="E84" s="1190"/>
      <c r="F84" s="1190"/>
      <c r="G84" s="1190"/>
      <c r="H84" s="1190"/>
      <c r="I84" s="1190"/>
      <c r="J84" s="1190"/>
    </row>
    <row r="85" spans="1:15" ht="16.5" customHeight="1">
      <c r="A85" s="4651" t="s">
        <v>2613</v>
      </c>
      <c r="B85" s="4652"/>
      <c r="C85" s="4652"/>
      <c r="D85" s="518"/>
      <c r="E85" s="518"/>
      <c r="F85" s="518"/>
      <c r="G85" s="518"/>
      <c r="H85" s="518"/>
      <c r="I85" s="518"/>
      <c r="J85" s="529"/>
    </row>
    <row r="86" spans="1:15" ht="41.25" customHeight="1">
      <c r="A86" s="4641" t="s">
        <v>4947</v>
      </c>
      <c r="B86" s="4653"/>
      <c r="C86" s="4653"/>
      <c r="D86" s="4653"/>
      <c r="E86" s="4653"/>
      <c r="F86" s="4653"/>
      <c r="G86" s="4653"/>
      <c r="H86" s="4653"/>
      <c r="I86" s="4653"/>
      <c r="J86" s="4653"/>
    </row>
    <row r="87" spans="1:15" ht="6" customHeight="1">
      <c r="A87" s="530"/>
      <c r="B87" s="518"/>
      <c r="C87" s="518"/>
      <c r="D87" s="518"/>
      <c r="E87" s="518"/>
      <c r="F87" s="518"/>
      <c r="G87" s="518"/>
      <c r="H87" s="518"/>
      <c r="I87" s="518"/>
      <c r="J87" s="529"/>
    </row>
    <row r="88" spans="1:15" ht="15">
      <c r="A88" s="519" t="s">
        <v>2614</v>
      </c>
    </row>
    <row r="89" spans="1:15" ht="124.15" customHeight="1">
      <c r="A89" s="4641" t="s">
        <v>2615</v>
      </c>
      <c r="B89" s="4641"/>
      <c r="C89" s="4641"/>
      <c r="D89" s="4641"/>
      <c r="E89" s="4641"/>
      <c r="F89" s="4641"/>
      <c r="G89" s="4641"/>
      <c r="H89" s="4641"/>
      <c r="I89" s="4641"/>
      <c r="J89" s="4641"/>
      <c r="L89" s="4646" t="s">
        <v>2616</v>
      </c>
      <c r="M89" s="4646"/>
      <c r="N89" s="4646"/>
    </row>
    <row r="90" spans="1:15" ht="6" customHeight="1">
      <c r="A90" s="1190"/>
      <c r="B90" s="1190"/>
      <c r="C90" s="1190"/>
      <c r="D90" s="1190"/>
      <c r="E90" s="1190"/>
      <c r="F90" s="1190"/>
      <c r="G90" s="1190"/>
      <c r="H90" s="1190"/>
      <c r="I90" s="1190"/>
      <c r="J90" s="1190"/>
      <c r="L90" s="1194"/>
      <c r="M90" s="1194"/>
      <c r="N90" s="1194"/>
    </row>
    <row r="91" spans="1:15" ht="17.25" customHeight="1">
      <c r="A91" s="519" t="s">
        <v>2617</v>
      </c>
    </row>
    <row r="92" spans="1:15" ht="105" customHeight="1">
      <c r="A92" s="4641" t="s">
        <v>2618</v>
      </c>
      <c r="B92" s="4641"/>
      <c r="C92" s="4641"/>
      <c r="D92" s="4641"/>
      <c r="E92" s="4641"/>
      <c r="F92" s="4641"/>
      <c r="G92" s="4641"/>
      <c r="H92" s="4641"/>
      <c r="I92" s="4641"/>
      <c r="J92" s="4641"/>
      <c r="L92" s="4646" t="s">
        <v>2619</v>
      </c>
      <c r="M92" s="4646"/>
      <c r="N92" s="531" t="e">
        <f>'After-Tax Analysis'!G66</f>
        <v>#VALUE!</v>
      </c>
      <c r="O92" s="532" t="s">
        <v>2620</v>
      </c>
    </row>
    <row r="93" spans="1:15" ht="6" customHeight="1">
      <c r="A93" s="519"/>
    </row>
    <row r="94" spans="1:15" ht="15">
      <c r="A94" s="519" t="s">
        <v>2621</v>
      </c>
    </row>
    <row r="95" spans="1:15" ht="118.5" customHeight="1">
      <c r="A95" s="4641" t="s">
        <v>2622</v>
      </c>
      <c r="B95" s="4641"/>
      <c r="C95" s="4641"/>
      <c r="D95" s="4641"/>
      <c r="E95" s="4641"/>
      <c r="F95" s="4641"/>
      <c r="G95" s="4641"/>
      <c r="H95" s="4641"/>
      <c r="I95" s="4641"/>
      <c r="J95" s="4641"/>
    </row>
    <row r="96" spans="1:15" ht="20.25" customHeight="1">
      <c r="A96" s="4643" t="s">
        <v>2623</v>
      </c>
      <c r="B96" s="4643"/>
      <c r="C96" s="4643"/>
      <c r="D96" s="4641"/>
      <c r="E96" s="1190"/>
      <c r="F96" s="1190"/>
      <c r="G96" s="1190"/>
      <c r="H96" s="1190"/>
      <c r="I96" s="1190"/>
      <c r="J96" s="1190"/>
    </row>
    <row r="97" spans="1:14" ht="109.5" customHeight="1">
      <c r="A97" s="4658" t="s">
        <v>2624</v>
      </c>
      <c r="B97" s="4659"/>
      <c r="C97" s="4659"/>
      <c r="D97" s="4659"/>
      <c r="E97" s="4659"/>
      <c r="F97" s="4659"/>
      <c r="G97" s="4659"/>
      <c r="H97" s="4659"/>
      <c r="I97" s="4659"/>
      <c r="J97" s="4659"/>
    </row>
    <row r="98" spans="1:14" ht="11.25" customHeight="1">
      <c r="A98" s="519"/>
    </row>
    <row r="99" spans="1:14" ht="15">
      <c r="A99" s="519" t="s">
        <v>2625</v>
      </c>
    </row>
    <row r="100" spans="1:14" ht="110.65" customHeight="1">
      <c r="A100" s="4647" t="s">
        <v>2626</v>
      </c>
      <c r="B100" s="4647"/>
      <c r="C100" s="4647"/>
      <c r="D100" s="4647"/>
      <c r="E100" s="4647"/>
      <c r="F100" s="4647"/>
      <c r="G100" s="4647"/>
      <c r="H100" s="4647"/>
      <c r="I100" s="4647"/>
      <c r="J100" s="4647"/>
      <c r="L100" s="959">
        <f>'Part VI-Pro Forma'!K72</f>
        <v>1813224.0627545342</v>
      </c>
      <c r="M100" s="4650" t="s">
        <v>2627</v>
      </c>
      <c r="N100" s="4650"/>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3" t="s">
        <v>2628</v>
      </c>
      <c r="B104" s="4643"/>
      <c r="C104" s="4643"/>
      <c r="D104" s="1190"/>
      <c r="E104" s="1190"/>
      <c r="F104" s="1190"/>
      <c r="G104" s="1190"/>
      <c r="H104" s="1190"/>
      <c r="I104" s="1190"/>
      <c r="J104" s="529"/>
    </row>
    <row r="105" spans="1:14" ht="37.5" customHeight="1">
      <c r="A105" s="4641" t="s">
        <v>2629</v>
      </c>
      <c r="B105" s="4641"/>
      <c r="C105" s="4641"/>
      <c r="D105" s="4641"/>
      <c r="E105" s="4641"/>
      <c r="F105" s="4641"/>
      <c r="G105" s="4641"/>
      <c r="H105" s="4641"/>
      <c r="I105" s="4641"/>
      <c r="J105" s="4641"/>
    </row>
    <row r="106" spans="1:14" ht="6" customHeight="1">
      <c r="A106" s="519"/>
    </row>
    <row r="107" spans="1:14" ht="15">
      <c r="A107" s="519" t="s">
        <v>2630</v>
      </c>
    </row>
    <row r="108" spans="1:14" ht="43.5" customHeight="1">
      <c r="A108" s="4641" t="s">
        <v>2631</v>
      </c>
      <c r="B108" s="4641"/>
      <c r="C108" s="4641"/>
      <c r="D108" s="4641"/>
      <c r="E108" s="4641"/>
      <c r="F108" s="4641"/>
      <c r="G108" s="4641"/>
      <c r="H108" s="4641"/>
      <c r="I108" s="4641"/>
      <c r="J108" s="4641"/>
    </row>
    <row r="109" spans="1:14" ht="6" customHeight="1">
      <c r="A109" s="1190"/>
      <c r="B109" s="1190"/>
      <c r="C109" s="1190"/>
      <c r="D109" s="1190"/>
      <c r="E109" s="1190"/>
      <c r="F109" s="1190"/>
      <c r="G109" s="1190"/>
      <c r="H109" s="1190"/>
      <c r="I109" s="1190"/>
      <c r="J109" s="1190"/>
    </row>
    <row r="110" spans="1:14" ht="15">
      <c r="A110" s="519" t="s">
        <v>2632</v>
      </c>
    </row>
    <row r="112" spans="1:14" ht="18.75" thickBot="1">
      <c r="A112" s="513" t="s">
        <v>2633</v>
      </c>
      <c r="G112" s="1405"/>
      <c r="H112" s="513" t="s">
        <v>2634</v>
      </c>
    </row>
    <row r="115" spans="1:10" ht="13.9" customHeight="1" thickBot="1">
      <c r="G115" s="1405"/>
      <c r="H115" s="513" t="s">
        <v>2635</v>
      </c>
    </row>
    <row r="116" spans="1:10">
      <c r="A116" s="513" t="s">
        <v>2636</v>
      </c>
    </row>
    <row r="119" spans="1:10" ht="15" thickBot="1">
      <c r="A119" s="533"/>
      <c r="B119" s="533"/>
      <c r="C119" s="533"/>
      <c r="D119" s="533"/>
      <c r="F119" s="533"/>
      <c r="G119" s="533"/>
      <c r="H119" s="533"/>
      <c r="I119" s="533"/>
      <c r="J119" s="533"/>
    </row>
    <row r="120" spans="1:10">
      <c r="A120" s="4656" t="s">
        <v>3965</v>
      </c>
      <c r="B120" s="4656"/>
      <c r="C120" s="4656"/>
      <c r="D120" s="4656"/>
      <c r="E120" s="4657"/>
      <c r="F120" s="1403" t="s">
        <v>3966</v>
      </c>
      <c r="G120" s="1403"/>
      <c r="H120" s="1403"/>
      <c r="I120" s="1403"/>
      <c r="J120" s="1403"/>
    </row>
    <row r="122" spans="1:10" ht="15" thickBot="1">
      <c r="A122" s="513" t="s">
        <v>2637</v>
      </c>
      <c r="B122" s="533"/>
      <c r="C122" s="533"/>
      <c r="H122" s="513" t="s">
        <v>2637</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2638</v>
      </c>
      <c r="B1" s="540"/>
      <c r="C1" s="540"/>
      <c r="D1" s="540"/>
      <c r="E1" s="540"/>
      <c r="F1" s="540"/>
      <c r="G1" s="540"/>
      <c r="H1" s="540"/>
      <c r="I1" s="540"/>
      <c r="J1" s="540"/>
      <c r="K1" s="540"/>
      <c r="L1" s="507"/>
      <c r="M1" s="507"/>
    </row>
    <row r="2" spans="1:14" s="10" customFormat="1" ht="18">
      <c r="A2" s="953" t="str">
        <f>+"Financial Analysis for:  "&amp;E8&amp;"  "&amp;C8</f>
        <v>Financial Analysis for:  2024-0  Lewis Crossing</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2639</v>
      </c>
      <c r="B7" s="556"/>
      <c r="C7" s="1886"/>
      <c r="D7" s="556"/>
      <c r="E7" s="556"/>
      <c r="F7" s="565" t="s">
        <v>2892</v>
      </c>
      <c r="G7" s="556"/>
      <c r="H7" s="46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2"/>
      <c r="J7" s="4662"/>
      <c r="K7" s="4662"/>
      <c r="L7" s="556"/>
      <c r="M7" s="504"/>
    </row>
    <row r="8" spans="1:14" ht="15.75">
      <c r="A8" s="565" t="s">
        <v>2640</v>
      </c>
      <c r="B8" s="565"/>
      <c r="C8" s="4662" t="str">
        <f>'Part I-Project Identification'!$F$26</f>
        <v>Lewis Crossing</v>
      </c>
      <c r="D8" s="4662"/>
      <c r="E8" s="1887" t="str">
        <f>'Part I-Project Identification'!$O$7</f>
        <v>2024-0</v>
      </c>
      <c r="F8" s="565" t="s">
        <v>2641</v>
      </c>
      <c r="G8" s="556"/>
      <c r="H8" s="4662" t="str">
        <f>CONCATENATE('Part I-Project Identification'!$F$27,", ",'Part I-Project Identification'!$J$27)</f>
        <v>Atlanta, Fulton</v>
      </c>
      <c r="I8" s="4662"/>
      <c r="J8" s="4662"/>
      <c r="K8" s="4662"/>
      <c r="L8" s="556"/>
      <c r="M8" s="538"/>
    </row>
    <row r="9" spans="1:14" ht="15.75">
      <c r="A9" s="565" t="s">
        <v>2643</v>
      </c>
      <c r="B9" s="565"/>
      <c r="C9" s="4662" t="s">
        <v>1641</v>
      </c>
      <c r="D9" s="4662"/>
      <c r="E9" s="556"/>
      <c r="F9" s="565" t="s">
        <v>2644</v>
      </c>
      <c r="G9" s="556"/>
      <c r="H9" s="4663"/>
      <c r="I9" s="4663"/>
      <c r="J9" s="4663"/>
      <c r="K9" s="4663"/>
      <c r="L9" s="4663"/>
      <c r="M9" s="538"/>
    </row>
    <row r="10" spans="1:14" ht="15.75">
      <c r="A10" s="565" t="s">
        <v>2646</v>
      </c>
      <c r="B10" s="556"/>
      <c r="C10" s="4664"/>
      <c r="D10" s="4664"/>
      <c r="E10" s="556"/>
      <c r="F10" s="565" t="s">
        <v>3048</v>
      </c>
      <c r="G10" s="556"/>
      <c r="H10" s="4661"/>
      <c r="I10" s="4661"/>
      <c r="J10" s="4661"/>
      <c r="K10" s="4661"/>
      <c r="L10" s="4661"/>
    </row>
    <row r="11" spans="1:14" ht="15.75">
      <c r="A11" s="565" t="s">
        <v>2647</v>
      </c>
      <c r="B11" s="556"/>
      <c r="C11" s="4665"/>
      <c r="D11" s="4665"/>
      <c r="E11" s="1901"/>
      <c r="F11" s="565" t="s">
        <v>605</v>
      </c>
      <c r="G11" s="556"/>
      <c r="H11" s="4661"/>
      <c r="I11" s="4661"/>
      <c r="J11" s="4661"/>
      <c r="K11" s="4661"/>
      <c r="L11" s="4661"/>
      <c r="M11" s="4666"/>
      <c r="N11" s="4667"/>
    </row>
    <row r="12" spans="1:14" ht="15.75">
      <c r="A12" s="565" t="s">
        <v>2648</v>
      </c>
      <c r="B12" s="556"/>
      <c r="C12" s="4665"/>
      <c r="D12" s="4665"/>
      <c r="E12" s="556"/>
      <c r="F12" s="565" t="s">
        <v>2649</v>
      </c>
      <c r="G12" s="556"/>
      <c r="H12" s="4665"/>
      <c r="I12" s="4665"/>
      <c r="J12" s="4665"/>
      <c r="K12" s="4665"/>
      <c r="L12" s="4665"/>
      <c r="M12" s="504"/>
    </row>
    <row r="13" spans="1:14" ht="15.75">
      <c r="A13" s="565" t="s">
        <v>2650</v>
      </c>
      <c r="B13" s="565"/>
      <c r="C13" s="1888">
        <f>'Part V-Revenues &amp; Expenses'!$P$67</f>
        <v>50</v>
      </c>
      <c r="D13" s="26"/>
      <c r="E13" s="1889">
        <f>'Part V-Revenues &amp; Expenses'!$P$63</f>
        <v>50</v>
      </c>
      <c r="F13" s="565" t="s">
        <v>3363</v>
      </c>
      <c r="G13" s="556"/>
      <c r="H13" s="1899"/>
      <c r="I13" s="1891"/>
      <c r="J13" s="1891"/>
      <c r="K13" s="1890">
        <f>'Part V-Revenues &amp; Expenses'!$K$179</f>
        <v>54800</v>
      </c>
      <c r="L13" s="556"/>
      <c r="M13" s="504"/>
    </row>
    <row r="14" spans="1:14" ht="15.75">
      <c r="A14" s="565" t="s">
        <v>2884</v>
      </c>
      <c r="B14" s="556"/>
      <c r="C14" s="1890" t="str">
        <f>'Part VII-Threshold Criteria OLD'!J35</f>
        <v>&lt;&lt; Select PROPOSED Tenancy &gt;&gt;</v>
      </c>
      <c r="D14" s="4662" t="str">
        <f>IF('Part VII-Threshold Criteria OLD'!$N$35=0,"",'Part VII-Threshold Criteria OLD'!$N$35)</f>
        <v/>
      </c>
      <c r="E14" s="4662"/>
      <c r="F14" s="565" t="s">
        <v>2651</v>
      </c>
      <c r="G14" s="556"/>
      <c r="H14" s="4668" t="s">
        <v>3016</v>
      </c>
      <c r="I14" s="4668"/>
      <c r="J14" s="4668"/>
      <c r="K14" s="4668" t="s">
        <v>3016</v>
      </c>
      <c r="L14" s="4668"/>
      <c r="M14" s="504"/>
    </row>
    <row r="15" spans="1:14" ht="15.75">
      <c r="A15" s="565" t="s">
        <v>2652</v>
      </c>
      <c r="B15" s="556"/>
      <c r="C15" s="1892" t="s">
        <v>1641</v>
      </c>
      <c r="D15" s="556"/>
      <c r="E15" s="556"/>
      <c r="F15" s="565" t="s">
        <v>2885</v>
      </c>
      <c r="G15" s="556"/>
      <c r="H15" s="1887" t="str">
        <f>'Part I-Project Identification'!K29</f>
        <v>Urban</v>
      </c>
      <c r="I15" s="556"/>
      <c r="J15" s="556"/>
      <c r="K15" s="556"/>
      <c r="L15" s="556"/>
      <c r="M15" s="504"/>
    </row>
    <row r="16" spans="1:14" ht="15.75">
      <c r="A16" s="565" t="s">
        <v>3043</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2887</v>
      </c>
      <c r="B18" s="556"/>
      <c r="C18" s="1894">
        <f>'Part III-A-Uses of Funds'!$G$146</f>
        <v>22079947</v>
      </c>
      <c r="D18" s="1895">
        <f>IF(C18=0,"",$C$29/C18)</f>
        <v>9.9637920326529766E-2</v>
      </c>
      <c r="E18" s="556" t="s">
        <v>2888</v>
      </c>
      <c r="F18" s="565" t="s">
        <v>4637</v>
      </c>
      <c r="G18" s="556"/>
      <c r="H18" s="4669">
        <f>'Part III-A-Uses of Funds'!$C$49</f>
        <v>13882463</v>
      </c>
      <c r="I18" s="4669"/>
      <c r="J18" s="1896">
        <f>IF(H18=0,"",$C$29/H18)</f>
        <v>0.15847331990007826</v>
      </c>
      <c r="K18" s="4662" t="s">
        <v>2889</v>
      </c>
      <c r="L18" s="4662"/>
      <c r="M18" s="504"/>
    </row>
    <row r="19" spans="1:13" ht="15.75">
      <c r="A19" s="565" t="s">
        <v>2653</v>
      </c>
      <c r="B19" s="556"/>
      <c r="C19" s="1897">
        <f>C18/C13</f>
        <v>441598.94</v>
      </c>
      <c r="D19" s="556"/>
      <c r="E19" s="556"/>
      <c r="F19" s="565" t="s">
        <v>2653</v>
      </c>
      <c r="G19" s="556"/>
      <c r="H19" s="4670">
        <f>H18/C13</f>
        <v>277649.26</v>
      </c>
      <c r="I19" s="4670"/>
      <c r="J19" s="556"/>
      <c r="K19" s="556"/>
      <c r="L19" s="556"/>
      <c r="M19" s="504"/>
    </row>
    <row r="20" spans="1:13" ht="15.75">
      <c r="A20" s="565" t="s">
        <v>2654</v>
      </c>
      <c r="B20" s="556"/>
      <c r="C20" s="1887">
        <f>C18/K13</f>
        <v>402.91874087591242</v>
      </c>
      <c r="D20" s="1898"/>
      <c r="E20" s="1898"/>
      <c r="F20" s="565" t="s">
        <v>2654</v>
      </c>
      <c r="G20" s="556"/>
      <c r="H20" s="4662">
        <f>H18/K13</f>
        <v>253.32961678832118</v>
      </c>
      <c r="I20" s="4670"/>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2655</v>
      </c>
      <c r="B23" s="534"/>
      <c r="C23" s="534"/>
      <c r="D23" s="534"/>
      <c r="E23" s="504"/>
      <c r="F23" s="504"/>
      <c r="G23" s="504"/>
      <c r="H23" s="504"/>
      <c r="I23" s="504"/>
      <c r="J23" s="504"/>
      <c r="K23" s="504"/>
      <c r="L23" s="504"/>
      <c r="M23" s="538"/>
    </row>
    <row r="24" spans="1:13" ht="27" customHeight="1">
      <c r="A24" s="504"/>
      <c r="B24" s="504"/>
      <c r="C24" s="504"/>
      <c r="D24" s="541" t="s">
        <v>2656</v>
      </c>
      <c r="E24" s="504"/>
      <c r="F24" s="504"/>
      <c r="G24" s="504"/>
      <c r="H24" s="504"/>
      <c r="I24" s="504"/>
      <c r="J24" s="504"/>
      <c r="K24" s="504"/>
      <c r="L24" s="504"/>
      <c r="M24" s="538"/>
    </row>
    <row r="25" spans="1:13" ht="15.75">
      <c r="A25" s="507" t="s">
        <v>2657</v>
      </c>
      <c r="B25" s="542" t="str">
        <f>'Part II-Sources of Funds'!E40</f>
        <v>Merchants Capital</v>
      </c>
      <c r="C25" s="543">
        <f>'Part II-Sources of Funds'!I40</f>
        <v>2200000</v>
      </c>
      <c r="D25" s="544" t="s">
        <v>2658</v>
      </c>
      <c r="E25" s="504"/>
      <c r="F25" s="504"/>
      <c r="G25" s="504" t="s">
        <v>2659</v>
      </c>
      <c r="H25" s="504"/>
      <c r="I25" s="504"/>
      <c r="K25" s="543"/>
      <c r="L25" s="504"/>
      <c r="M25" s="538"/>
    </row>
    <row r="26" spans="1:13" ht="15">
      <c r="A26" s="504"/>
      <c r="B26" s="542"/>
      <c r="C26" s="543"/>
      <c r="D26" s="544"/>
      <c r="E26" s="504"/>
      <c r="F26" s="504"/>
      <c r="G26" s="504" t="s">
        <v>2660</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2661</v>
      </c>
      <c r="H28" s="504"/>
      <c r="I28" s="504"/>
      <c r="K28" s="543"/>
      <c r="L28" s="504"/>
      <c r="M28" s="504"/>
    </row>
    <row r="29" spans="1:13" ht="16.5" thickBot="1">
      <c r="A29" s="504"/>
      <c r="B29" s="546" t="s">
        <v>2662</v>
      </c>
      <c r="C29" s="1885">
        <f>SUM(C25:C27)</f>
        <v>2200000</v>
      </c>
      <c r="D29" s="504"/>
      <c r="E29" s="504"/>
      <c r="F29" s="504"/>
      <c r="G29" s="504" t="s">
        <v>2663</v>
      </c>
      <c r="H29" s="504"/>
      <c r="I29" s="504"/>
      <c r="K29" s="545" t="e">
        <f>C29/K28</f>
        <v>#DIV/0!</v>
      </c>
      <c r="L29" s="504"/>
      <c r="M29" s="504"/>
    </row>
    <row r="30" spans="1:13" ht="16.5" thickTop="1">
      <c r="A30" s="507" t="s">
        <v>2664</v>
      </c>
      <c r="B30" s="546"/>
      <c r="C30" s="547">
        <f>'Part II-Sources of Funds'!$I$51+'Part II-Sources of Funds'!$I$52</f>
        <v>18088853</v>
      </c>
      <c r="D30" s="504"/>
      <c r="E30" s="504"/>
      <c r="F30" s="504"/>
      <c r="G30" s="504"/>
      <c r="H30" s="504"/>
      <c r="I30" s="504"/>
      <c r="K30" s="548"/>
      <c r="L30" s="504"/>
      <c r="M30" s="504"/>
    </row>
    <row r="31" spans="1:13" ht="15">
      <c r="A31" s="549" t="s">
        <v>2665</v>
      </c>
      <c r="B31" s="542" t="str">
        <f>'Part II-Sources of Funds'!E41</f>
        <v>United Bank CDFI</v>
      </c>
      <c r="C31" s="543">
        <f>'Part II-Sources of Funds'!I41</f>
        <v>500000</v>
      </c>
      <c r="D31" s="544"/>
      <c r="E31" s="504"/>
      <c r="F31" s="504"/>
      <c r="G31" s="504"/>
      <c r="H31" s="504"/>
      <c r="I31" s="504"/>
      <c r="K31" s="504"/>
      <c r="L31" s="504"/>
      <c r="M31" s="504"/>
    </row>
    <row r="32" spans="1:13" ht="15">
      <c r="A32" s="549" t="s">
        <v>2665</v>
      </c>
      <c r="B32" s="542">
        <f>'Part II-Sources of Funds'!E42</f>
        <v>0</v>
      </c>
      <c r="C32" s="543">
        <f>'Part II-Sources of Funds'!I42</f>
        <v>0</v>
      </c>
      <c r="D32" s="544"/>
      <c r="E32" s="504" t="s">
        <v>233</v>
      </c>
      <c r="F32" s="504"/>
      <c r="G32" s="504" t="s">
        <v>2666</v>
      </c>
      <c r="H32" s="504"/>
      <c r="I32" s="504"/>
      <c r="K32" s="543"/>
      <c r="L32" s="504"/>
      <c r="M32" s="504"/>
    </row>
    <row r="33" spans="1:13" ht="15">
      <c r="A33" s="549" t="s">
        <v>2665</v>
      </c>
      <c r="B33" s="542">
        <f>'Part II-Sources of Funds'!E43</f>
        <v>0</v>
      </c>
      <c r="C33" s="543">
        <f>'Part II-Sources of Funds'!I43</f>
        <v>0</v>
      </c>
      <c r="D33" s="544"/>
      <c r="E33" s="504"/>
      <c r="F33" s="504"/>
      <c r="G33" s="957" t="s">
        <v>2667</v>
      </c>
      <c r="H33" s="957"/>
      <c r="I33" s="957"/>
      <c r="K33" s="545" t="e">
        <f>$C$29/K32</f>
        <v>#DIV/0!</v>
      </c>
      <c r="L33" s="504"/>
      <c r="M33" s="550"/>
    </row>
    <row r="34" spans="1:13" ht="15.75">
      <c r="A34" s="504"/>
      <c r="B34" s="546" t="s">
        <v>2668</v>
      </c>
      <c r="C34" s="547">
        <f>SUM(C31:C33)</f>
        <v>500000</v>
      </c>
      <c r="D34" s="504"/>
      <c r="E34" s="504"/>
      <c r="F34" s="504"/>
      <c r="G34" s="504"/>
      <c r="H34" s="504"/>
      <c r="I34" s="504"/>
      <c r="K34" s="504"/>
      <c r="L34" s="504"/>
      <c r="M34" s="550"/>
    </row>
    <row r="35" spans="1:13" ht="15.75">
      <c r="A35" s="504"/>
      <c r="B35" s="546"/>
      <c r="C35" s="504"/>
      <c r="D35" s="504"/>
      <c r="E35" s="504"/>
      <c r="F35" s="504"/>
      <c r="G35" s="957" t="s">
        <v>2669</v>
      </c>
      <c r="H35" s="957"/>
      <c r="I35" s="957"/>
      <c r="K35" s="551" t="e">
        <f>(C36)/K25</f>
        <v>#DIV/0!</v>
      </c>
      <c r="L35" s="504"/>
      <c r="M35" s="504"/>
    </row>
    <row r="36" spans="1:13" ht="15.75">
      <c r="A36" s="504"/>
      <c r="B36" s="546" t="s">
        <v>2670</v>
      </c>
      <c r="C36" s="547">
        <f>C29+C34</f>
        <v>2700000</v>
      </c>
      <c r="D36" s="504"/>
      <c r="E36" s="504"/>
      <c r="F36" s="504"/>
      <c r="G36" s="504"/>
      <c r="H36" s="504"/>
      <c r="I36" s="504"/>
      <c r="K36" s="504"/>
      <c r="L36" s="504"/>
      <c r="M36" s="504"/>
    </row>
    <row r="37" spans="1:13" ht="15.75">
      <c r="A37" s="504"/>
      <c r="B37" s="546"/>
      <c r="C37" s="548"/>
      <c r="D37" s="504"/>
      <c r="E37" s="504"/>
      <c r="F37" s="504"/>
      <c r="G37" s="957" t="s">
        <v>2671</v>
      </c>
      <c r="H37" s="957"/>
      <c r="I37" s="957"/>
      <c r="K37" s="958" t="e">
        <f>+(C36)/K32</f>
        <v>#DIV/0!</v>
      </c>
      <c r="L37" s="504"/>
      <c r="M37" s="550"/>
    </row>
    <row r="38" spans="1:13" ht="15.75">
      <c r="A38" s="504"/>
      <c r="B38" s="546" t="s">
        <v>2672</v>
      </c>
      <c r="C38" s="552">
        <f>C36/C18</f>
        <v>0.12228290221892289</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2673</v>
      </c>
      <c r="C40" s="552">
        <f>C36/H18</f>
        <v>0.1944899835137324</v>
      </c>
      <c r="D40" s="504"/>
      <c r="E40" s="504"/>
      <c r="F40" s="507"/>
      <c r="G40" s="507" t="s">
        <v>2674</v>
      </c>
      <c r="H40" s="504"/>
      <c r="I40" s="504"/>
      <c r="K40" s="545">
        <f>C30/C18</f>
        <v>0.81924349727832224</v>
      </c>
      <c r="L40" s="504"/>
      <c r="M40" s="504"/>
    </row>
    <row r="46" spans="1:13" ht="15.75">
      <c r="A46" s="540" t="s">
        <v>2675</v>
      </c>
      <c r="B46" s="534"/>
      <c r="C46" s="534"/>
      <c r="D46" s="534"/>
      <c r="E46" s="534"/>
      <c r="F46" s="534"/>
      <c r="G46" s="534"/>
      <c r="H46" s="534"/>
      <c r="I46" s="534"/>
      <c r="J46" s="534"/>
      <c r="K46" s="534"/>
      <c r="L46" s="534"/>
      <c r="M46" s="504"/>
    </row>
    <row r="47" spans="1:13" ht="15.75">
      <c r="A47" s="540" t="str">
        <f>C8</f>
        <v>Lewis Crossing</v>
      </c>
      <c r="B47" s="534"/>
      <c r="C47" s="534"/>
      <c r="D47" s="534"/>
      <c r="E47" s="534"/>
      <c r="F47" s="534"/>
      <c r="G47" s="534"/>
      <c r="H47" s="534"/>
      <c r="I47" s="534"/>
      <c r="J47" s="534"/>
      <c r="K47" s="534"/>
      <c r="L47" s="534"/>
      <c r="M47" s="504"/>
    </row>
    <row r="50" spans="1:14" s="504" customFormat="1" ht="15.75">
      <c r="A50" s="507" t="s">
        <v>2676</v>
      </c>
      <c r="C50" s="550" t="s">
        <v>2677</v>
      </c>
      <c r="E50" s="553" t="s">
        <v>3017</v>
      </c>
      <c r="F50" s="554">
        <v>0.1</v>
      </c>
      <c r="G50" s="553" t="s">
        <v>3018</v>
      </c>
      <c r="H50" s="554">
        <v>0.05</v>
      </c>
      <c r="I50" s="553" t="s">
        <v>3019</v>
      </c>
      <c r="J50" s="554">
        <v>0.03</v>
      </c>
      <c r="K50" s="4671" t="s">
        <v>2678</v>
      </c>
      <c r="L50" s="4672"/>
      <c r="M50"/>
      <c r="N50"/>
    </row>
    <row r="51" spans="1:14" s="504" customFormat="1" ht="15.75">
      <c r="A51" s="507"/>
      <c r="C51" s="550"/>
      <c r="E51" s="550"/>
      <c r="F51" s="555"/>
      <c r="G51" s="550"/>
      <c r="H51" s="555"/>
      <c r="I51" s="550"/>
      <c r="J51" s="555"/>
      <c r="K51" s="550"/>
      <c r="M51"/>
      <c r="N51"/>
    </row>
    <row r="52" spans="1:14" s="504" customFormat="1" ht="18.75" customHeight="1">
      <c r="B52" s="556" t="s">
        <v>2679</v>
      </c>
      <c r="C52" s="557">
        <f>'Part VI-Pro Forma'!B15</f>
        <v>591540</v>
      </c>
      <c r="D52" s="557"/>
      <c r="E52" s="557">
        <f>$C$52</f>
        <v>591540</v>
      </c>
      <c r="F52" s="557"/>
      <c r="G52" s="557">
        <f>$C$52</f>
        <v>591540</v>
      </c>
      <c r="H52" s="557"/>
      <c r="I52" s="557">
        <f>$C$52</f>
        <v>591540</v>
      </c>
      <c r="J52" s="557"/>
      <c r="K52" s="557">
        <f>$C$52</f>
        <v>591540</v>
      </c>
      <c r="L52" s="558"/>
      <c r="M52"/>
      <c r="N52"/>
    </row>
    <row r="53" spans="1:14" s="504" customFormat="1" ht="18.75" customHeight="1">
      <c r="B53" s="556" t="s">
        <v>2682</v>
      </c>
      <c r="C53" s="557">
        <f>'Part VI-Pro Forma'!B16</f>
        <v>7000</v>
      </c>
      <c r="D53" s="557"/>
      <c r="E53" s="557">
        <f>$C$53</f>
        <v>7000</v>
      </c>
      <c r="F53" s="557"/>
      <c r="G53" s="557">
        <f>$C$53</f>
        <v>7000</v>
      </c>
      <c r="H53" s="557"/>
      <c r="I53" s="557">
        <f>$C$53</f>
        <v>7000</v>
      </c>
      <c r="J53" s="557"/>
      <c r="K53" s="557">
        <f>$C$53</f>
        <v>7000</v>
      </c>
      <c r="L53" s="558"/>
      <c r="M53"/>
      <c r="N53"/>
    </row>
    <row r="54" spans="1:14" s="504" customFormat="1" ht="18.75" customHeight="1">
      <c r="B54" s="556" t="s">
        <v>2680</v>
      </c>
      <c r="C54" s="557">
        <f>'Part VI-Pro Forma'!B17</f>
        <v>-41897.800000000003</v>
      </c>
      <c r="D54" s="557"/>
      <c r="E54" s="557">
        <f>-($C$52+E53)*F50</f>
        <v>-59854</v>
      </c>
      <c r="F54" s="559"/>
      <c r="G54" s="557">
        <f>-($C$52+G53)*0.07</f>
        <v>-41897.800000000003</v>
      </c>
      <c r="H54" s="557"/>
      <c r="I54" s="557">
        <f>-($C$52+I53)*0.07</f>
        <v>-41897.800000000003</v>
      </c>
      <c r="J54" s="557"/>
      <c r="K54" s="557">
        <f>-($C$52+K53)*L54</f>
        <v>-59854</v>
      </c>
      <c r="L54" s="560">
        <v>0.1</v>
      </c>
      <c r="M54"/>
      <c r="N54"/>
    </row>
    <row r="55" spans="1:14" s="504" customFormat="1" ht="18.75" customHeight="1">
      <c r="B55" s="556" t="s">
        <v>2681</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2683</v>
      </c>
      <c r="C56" s="563">
        <f>SUM(C52:C55)</f>
        <v>556642.19999999995</v>
      </c>
      <c r="D56" s="557"/>
      <c r="E56" s="563">
        <f>SUM(E52:E55)</f>
        <v>538686</v>
      </c>
      <c r="F56" s="557"/>
      <c r="G56" s="563">
        <f>SUM(G52:G55)</f>
        <v>556642.19999999995</v>
      </c>
      <c r="H56" s="557"/>
      <c r="I56" s="563">
        <f>SUM(I52:I55)</f>
        <v>556642.19999999995</v>
      </c>
      <c r="J56" s="557"/>
      <c r="K56" s="563">
        <f>SUM(K52:K55)</f>
        <v>538686</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2684</v>
      </c>
      <c r="C58" s="557">
        <f>+'Part V-Revenues &amp; Expenses'!F228+'Part V-Revenues &amp; Expenses'!F237+'Part V-Revenues &amp; Expenses'!L224+'Part V-Revenues &amp; Expenses'!L232</f>
        <v>6000</v>
      </c>
      <c r="D58" s="557"/>
      <c r="E58" s="557">
        <f>$C$58</f>
        <v>6000</v>
      </c>
      <c r="F58" s="557"/>
      <c r="G58" s="557">
        <f>$C$58</f>
        <v>6000</v>
      </c>
      <c r="H58" s="557"/>
      <c r="I58" s="557">
        <f>$C$58</f>
        <v>6000</v>
      </c>
      <c r="J58" s="557"/>
      <c r="K58" s="557">
        <f>$C$58</f>
        <v>6000</v>
      </c>
      <c r="L58" s="558"/>
      <c r="M58"/>
      <c r="N58"/>
    </row>
    <row r="59" spans="1:14" s="504" customFormat="1" ht="18.75" customHeight="1">
      <c r="B59" s="556" t="s">
        <v>2685</v>
      </c>
      <c r="C59" s="557">
        <f>+'Part V-Revenues &amp; Expenses'!F248</f>
        <v>8000</v>
      </c>
      <c r="D59" s="557"/>
      <c r="E59" s="557">
        <f>$C$59</f>
        <v>8000</v>
      </c>
      <c r="F59" s="557"/>
      <c r="G59" s="557">
        <f>$C$59</f>
        <v>8000</v>
      </c>
      <c r="H59" s="557"/>
      <c r="I59" s="557">
        <f>$C$59</f>
        <v>8000</v>
      </c>
      <c r="J59" s="557"/>
      <c r="K59" s="557">
        <f>$C$59*(1+$L$59)</f>
        <v>8320</v>
      </c>
      <c r="L59" s="564">
        <v>0.04</v>
      </c>
      <c r="M59"/>
      <c r="N59"/>
    </row>
    <row r="60" spans="1:14" s="504" customFormat="1" ht="18.75" customHeight="1">
      <c r="B60" s="556" t="s">
        <v>1295</v>
      </c>
      <c r="C60" s="557">
        <f>+'Part V-Revenues &amp; Expenses'!L241</f>
        <v>5000</v>
      </c>
      <c r="D60" s="557"/>
      <c r="E60" s="557">
        <f>$C$60</f>
        <v>5000</v>
      </c>
      <c r="F60" s="557"/>
      <c r="G60" s="557">
        <f>$C$60</f>
        <v>5000</v>
      </c>
      <c r="H60" s="557"/>
      <c r="I60" s="557">
        <f>$C$60*(1+$J$50)</f>
        <v>5150</v>
      </c>
      <c r="J60" s="559"/>
      <c r="K60" s="557">
        <f>$C$60*(1+$J$50)</f>
        <v>5150</v>
      </c>
      <c r="L60" s="560">
        <v>0.03</v>
      </c>
      <c r="M60"/>
      <c r="N60"/>
    </row>
    <row r="61" spans="1:14" s="504" customFormat="1" ht="18.75" customHeight="1">
      <c r="B61" s="556" t="s">
        <v>1296</v>
      </c>
      <c r="C61" s="557">
        <f>+'Part V-Revenues &amp; Expenses'!L248</f>
        <v>65500</v>
      </c>
      <c r="D61" s="557"/>
      <c r="E61" s="557">
        <f>$C$61</f>
        <v>65500</v>
      </c>
      <c r="F61" s="557"/>
      <c r="G61" s="557">
        <f>$C$61*(1+H50)</f>
        <v>68775</v>
      </c>
      <c r="H61" s="559"/>
      <c r="I61" s="557">
        <f>$C$61</f>
        <v>65500</v>
      </c>
      <c r="J61" s="557"/>
      <c r="K61" s="557">
        <f>$C$61*(1+$L$61)</f>
        <v>68775</v>
      </c>
      <c r="L61" s="560">
        <v>0.05</v>
      </c>
      <c r="M61"/>
      <c r="N61"/>
    </row>
    <row r="62" spans="1:14" s="504" customFormat="1" ht="18.75" customHeight="1">
      <c r="B62" s="562" t="s">
        <v>2686</v>
      </c>
      <c r="C62" s="563">
        <f>SUM(C58:C61)</f>
        <v>84500</v>
      </c>
      <c r="D62" s="557"/>
      <c r="E62" s="563">
        <f>SUM(E58:E61)</f>
        <v>84500</v>
      </c>
      <c r="F62" s="557"/>
      <c r="G62" s="563">
        <f>SUM(G58:G61)</f>
        <v>87775</v>
      </c>
      <c r="H62" s="557"/>
      <c r="I62" s="563">
        <f>SUM(I58:I61)</f>
        <v>84650</v>
      </c>
      <c r="J62" s="557"/>
      <c r="K62" s="563">
        <f>SUM(K58:K61)</f>
        <v>88245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2687</v>
      </c>
      <c r="C64" s="566">
        <f>C56-C62</f>
        <v>472142.19999999995</v>
      </c>
      <c r="D64" s="566"/>
      <c r="E64" s="566">
        <f>E56-E62</f>
        <v>454186</v>
      </c>
      <c r="F64" s="566"/>
      <c r="G64" s="566">
        <f>G56-G62</f>
        <v>468867.19999999995</v>
      </c>
      <c r="H64" s="566"/>
      <c r="I64" s="566">
        <f>I56-I62</f>
        <v>471992.19999999995</v>
      </c>
      <c r="J64" s="566"/>
      <c r="K64" s="566">
        <f>K56-K62</f>
        <v>450441</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2688</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2689</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2690</v>
      </c>
      <c r="C70" s="569">
        <f>C64-C66-C68</f>
        <v>472142.19999999995</v>
      </c>
      <c r="D70" s="566"/>
      <c r="E70" s="569">
        <f>E64-E66-E68</f>
        <v>454186</v>
      </c>
      <c r="F70" s="566"/>
      <c r="G70" s="569">
        <f>G64-G66-G68</f>
        <v>468867.19999999995</v>
      </c>
      <c r="H70" s="566"/>
      <c r="I70" s="569">
        <f>I64-I66-I68</f>
        <v>471992.19999999995</v>
      </c>
      <c r="J70" s="566"/>
      <c r="K70" s="569">
        <f>K64-K66-K68</f>
        <v>450441</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2691</v>
      </c>
      <c r="C72" s="986">
        <f>-C70/C75</f>
        <v>2.4788332002470139</v>
      </c>
      <c r="D72" s="570"/>
      <c r="E72" s="986">
        <f>-E70/E75</f>
        <v>2.3845598548221072</v>
      </c>
      <c r="F72" s="570"/>
      <c r="G72" s="986">
        <f>-G70/G75</f>
        <v>2.461638849200213</v>
      </c>
      <c r="H72" s="570"/>
      <c r="I72" s="986">
        <f>-I70/I75</f>
        <v>2.478045672718153</v>
      </c>
      <c r="J72" s="570"/>
      <c r="K72" s="986">
        <f>-K70/K75</f>
        <v>2.3648979175182081</v>
      </c>
      <c r="L72" s="4"/>
      <c r="M72" s="10"/>
      <c r="N72" s="10"/>
    </row>
    <row r="73" spans="1:14" s="504" customFormat="1" ht="18.75" customHeight="1">
      <c r="A73"/>
      <c r="B73" s="556" t="s">
        <v>2692</v>
      </c>
      <c r="C73" s="987">
        <f>C76/C62</f>
        <v>3.3334043529151676</v>
      </c>
      <c r="D73" s="571"/>
      <c r="E73" s="987">
        <f>E76/E62</f>
        <v>3.1209049446311443</v>
      </c>
      <c r="F73" s="571"/>
      <c r="G73" s="987">
        <f>G76/G62</f>
        <v>3.1717193713623657</v>
      </c>
      <c r="H73" s="571"/>
      <c r="I73" s="987">
        <f>I76/I62</f>
        <v>3.3257255501633982</v>
      </c>
      <c r="J73" s="571"/>
      <c r="K73" s="987">
        <f>K76/K62</f>
        <v>2.9460192398587082</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2693</v>
      </c>
      <c r="C75" s="557">
        <f>+SUM('Part VI-Pro Forma'!B26:B29)</f>
        <v>-190469.53217866831</v>
      </c>
      <c r="D75" s="557"/>
      <c r="E75" s="557">
        <f>$C$75</f>
        <v>-190469.53217866831</v>
      </c>
      <c r="F75" s="557"/>
      <c r="G75" s="557">
        <f>$C$75</f>
        <v>-190469.53217866831</v>
      </c>
      <c r="H75" s="557"/>
      <c r="I75" s="557">
        <f>$C$75</f>
        <v>-190469.53217866831</v>
      </c>
      <c r="J75" s="557"/>
      <c r="K75" s="557">
        <f>$C$75</f>
        <v>-190469.53217866831</v>
      </c>
      <c r="L75" s="26"/>
      <c r="M75"/>
      <c r="N75"/>
    </row>
    <row r="76" spans="1:14" s="504" customFormat="1" ht="18.75" customHeight="1">
      <c r="A76"/>
      <c r="B76" s="556" t="s">
        <v>1095</v>
      </c>
      <c r="C76" s="557">
        <f>C70+C75</f>
        <v>281672.66782133165</v>
      </c>
      <c r="D76" s="557"/>
      <c r="E76" s="557">
        <f>E70+E75</f>
        <v>263716.46782133169</v>
      </c>
      <c r="F76" s="557"/>
      <c r="G76" s="557">
        <f>G70+G75</f>
        <v>278397.66782133165</v>
      </c>
      <c r="H76" s="557"/>
      <c r="I76" s="557">
        <f>I70+I75</f>
        <v>281522.66782133165</v>
      </c>
      <c r="J76" s="557"/>
      <c r="K76" s="557">
        <f>K70+K75</f>
        <v>259971.46782133169</v>
      </c>
      <c r="L76" s="26"/>
      <c r="M76"/>
      <c r="N76"/>
    </row>
    <row r="77" spans="1:14" s="504" customFormat="1" ht="15" hidden="1">
      <c r="A77"/>
      <c r="B77" s="556" t="s">
        <v>2694</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2695</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2696</v>
      </c>
      <c r="C80" s="572" t="e">
        <f>MIN(C77,E77,G77,I77,K77)</f>
        <v>#NAME?</v>
      </c>
      <c r="D80" s="556"/>
      <c r="E80" s="556" t="s">
        <v>2697</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3328</v>
      </c>
    </row>
    <row r="3" spans="1:7" ht="3" customHeight="1"/>
    <row r="4" spans="1:7">
      <c r="A4" s="940" t="s">
        <v>3329</v>
      </c>
      <c r="B4" s="941">
        <f>'Part III-A-Uses of Funds'!G146</f>
        <v>22079947</v>
      </c>
    </row>
    <row r="5" spans="1:7">
      <c r="A5" s="940" t="s">
        <v>3360</v>
      </c>
      <c r="B5" s="941">
        <f>+B18+B26+B38</f>
        <v>2712473.8542296132</v>
      </c>
    </row>
    <row r="6" spans="1:7">
      <c r="A6" s="940" t="s">
        <v>3330</v>
      </c>
      <c r="B6" s="942">
        <f>+B5-B4</f>
        <v>-19367473.145770386</v>
      </c>
    </row>
    <row r="7" spans="1:7">
      <c r="A7" s="940" t="s">
        <v>3331</v>
      </c>
      <c r="B7" s="943">
        <f>+B6/B4</f>
        <v>-0.87715215737476115</v>
      </c>
    </row>
    <row r="8" spans="1:7" ht="9" customHeight="1"/>
    <row r="9" spans="1:7">
      <c r="A9" s="940" t="s">
        <v>3332</v>
      </c>
      <c r="B9" s="941">
        <f>+B18+B26+B33</f>
        <v>1691225.854229613</v>
      </c>
    </row>
    <row r="10" spans="1:7">
      <c r="A10" s="940" t="s">
        <v>3330</v>
      </c>
      <c r="B10" s="942">
        <f>+B9-B4</f>
        <v>-20388721.145770386</v>
      </c>
    </row>
    <row r="11" spans="1:7">
      <c r="A11" s="940" t="s">
        <v>3331</v>
      </c>
      <c r="B11" s="943">
        <f>+B10/B4</f>
        <v>-0.92340444231004659</v>
      </c>
    </row>
    <row r="12" spans="1:7" ht="24" customHeight="1"/>
    <row r="13" spans="1:7">
      <c r="A13" s="939" t="s">
        <v>3333</v>
      </c>
      <c r="D13" s="992" t="s">
        <v>3545</v>
      </c>
      <c r="E13" s="993"/>
    </row>
    <row r="14" spans="1:7">
      <c r="A14" s="940" t="s">
        <v>3334</v>
      </c>
      <c r="B14" s="944">
        <f>+SUM('Part II-Sources of Funds'!L51:M52)</f>
        <v>18090000</v>
      </c>
      <c r="D14" s="993"/>
      <c r="E14" s="993"/>
    </row>
    <row r="15" spans="1:7">
      <c r="A15" s="940" t="s">
        <v>3335</v>
      </c>
      <c r="B15" s="945">
        <f>+'Part III-A-Uses of Funds'!J180</f>
        <v>1835869.9</v>
      </c>
      <c r="D15" s="993" t="s">
        <v>1890</v>
      </c>
      <c r="G15" s="994">
        <f>'Part III-A-Uses of Funds'!J168</f>
        <v>18593631</v>
      </c>
    </row>
    <row r="16" spans="1:7" ht="12.75" customHeight="1">
      <c r="D16" s="993" t="s">
        <v>3546</v>
      </c>
      <c r="G16" s="998">
        <v>3.2800000000000003E-2</v>
      </c>
    </row>
    <row r="17" spans="1:7" ht="12.75" customHeight="1">
      <c r="A17" s="940" t="s">
        <v>3336</v>
      </c>
      <c r="B17" s="997">
        <v>1.45</v>
      </c>
      <c r="D17" s="993" t="s">
        <v>3547</v>
      </c>
      <c r="G17" s="999">
        <v>1.45</v>
      </c>
    </row>
    <row r="18" spans="1:7" ht="12.75" customHeight="1">
      <c r="A18" s="940" t="s">
        <v>3337</v>
      </c>
      <c r="B18" s="946">
        <f>+'Part III-A-Uses of Funds'!J190*B17*10</f>
        <v>0</v>
      </c>
      <c r="D18" s="993" t="s">
        <v>3548</v>
      </c>
      <c r="G18" s="999">
        <v>3.28</v>
      </c>
    </row>
    <row r="19" spans="1:7" ht="12.75" customHeight="1">
      <c r="D19" s="993" t="s">
        <v>3549</v>
      </c>
      <c r="G19" s="995">
        <f>+G15*G16*G17*10</f>
        <v>8843130.9035999998</v>
      </c>
    </row>
    <row r="20" spans="1:7">
      <c r="A20" s="940" t="s">
        <v>3338</v>
      </c>
      <c r="B20" s="944">
        <f>+B18-B14</f>
        <v>-18090000</v>
      </c>
      <c r="D20" s="993" t="s">
        <v>3550</v>
      </c>
      <c r="G20" s="996">
        <f>+B14-G19</f>
        <v>9246869.0964000002</v>
      </c>
    </row>
    <row r="21" spans="1:7">
      <c r="A21" s="940" t="s">
        <v>3339</v>
      </c>
      <c r="B21" s="943">
        <f>+B20/B14</f>
        <v>-1</v>
      </c>
      <c r="D21" s="993" t="s">
        <v>3551</v>
      </c>
      <c r="G21" s="993" t="str">
        <f>+IF(G20&gt;(B28+B35),"No","Yes")</f>
        <v>No</v>
      </c>
    </row>
    <row r="22" spans="1:7" ht="24" customHeight="1"/>
    <row r="23" spans="1:7">
      <c r="A23" s="939" t="s">
        <v>3340</v>
      </c>
    </row>
    <row r="24" spans="1:7">
      <c r="A24" s="940" t="s">
        <v>3341</v>
      </c>
      <c r="B24" s="947">
        <f>+SUM('Part II-Sources of Funds'!I40:J43)</f>
        <v>2700000</v>
      </c>
    </row>
    <row r="25" spans="1:7">
      <c r="A25" s="940" t="s">
        <v>3342</v>
      </c>
      <c r="B25" s="948">
        <f>IF('Part II-Sources of Funds'!E6="Yes","N/A",MAX(B46:P46))</f>
        <v>-4109.8011546650087</v>
      </c>
    </row>
    <row r="26" spans="1:7">
      <c r="A26" s="940" t="s">
        <v>3343</v>
      </c>
      <c r="B26" s="938">
        <f>IFERROR(PV('Part II-Sources of Funds'!K40,'Part II-Sources of Funds'!L40,B25+B45),B24)</f>
        <v>1691225.854229613</v>
      </c>
    </row>
    <row r="27" spans="1:7" ht="9" customHeight="1">
      <c r="B27" s="938"/>
    </row>
    <row r="28" spans="1:7">
      <c r="A28" s="940" t="s">
        <v>3344</v>
      </c>
      <c r="B28" s="949">
        <f>+B26-B24</f>
        <v>-1008774.145770387</v>
      </c>
      <c r="C28" s="950"/>
    </row>
    <row r="29" spans="1:7">
      <c r="A29" s="940" t="s">
        <v>3339</v>
      </c>
      <c r="B29" s="951">
        <f>+B28/B24</f>
        <v>-0.37362005398903225</v>
      </c>
    </row>
    <row r="30" spans="1:7" ht="24" customHeight="1"/>
    <row r="31" spans="1:7">
      <c r="A31" s="939" t="s">
        <v>3274</v>
      </c>
    </row>
    <row r="32" spans="1:7">
      <c r="A32" s="940" t="s">
        <v>3345</v>
      </c>
      <c r="B32" s="952">
        <f>+'Part II-Sources of Funds'!I45</f>
        <v>269846</v>
      </c>
    </row>
    <row r="33" spans="1:11">
      <c r="A33" s="940" t="s">
        <v>3346</v>
      </c>
      <c r="B33" s="938"/>
    </row>
    <row r="34" spans="1:11" ht="9" customHeight="1">
      <c r="B34" s="938"/>
    </row>
    <row r="35" spans="1:11">
      <c r="A35" s="940" t="s">
        <v>3347</v>
      </c>
      <c r="B35" s="952">
        <f>+B33-B32</f>
        <v>-269846</v>
      </c>
    </row>
    <row r="36" spans="1:11">
      <c r="A36" s="940" t="s">
        <v>3348</v>
      </c>
      <c r="B36" s="937">
        <f>+B35/B32</f>
        <v>-1</v>
      </c>
    </row>
    <row r="37" spans="1:11" ht="24" customHeight="1">
      <c r="B37" s="938"/>
    </row>
    <row r="38" spans="1:11">
      <c r="A38" s="939" t="s">
        <v>3349</v>
      </c>
      <c r="B38" s="938">
        <f>+SUM('Part II-Sources of Funds'!I44,'Part II-Sources of Funds'!I49,'Part II-Sources of Funds'!I50,'Part II-Sources of Funds'!I53:I59)</f>
        <v>1021248</v>
      </c>
    </row>
    <row r="39" spans="1:11">
      <c r="B39" s="938"/>
    </row>
    <row r="40" spans="1:11">
      <c r="B40" s="938"/>
    </row>
    <row r="41" spans="1:11">
      <c r="B41" s="938"/>
    </row>
    <row r="42" spans="1:11">
      <c r="A42" s="939" t="s">
        <v>3350</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233495.19999999995</v>
      </c>
      <c r="C44" s="941">
        <f>+'Part VI-Pro Forma'!C25</f>
        <v>235267.60399999999</v>
      </c>
      <c r="D44" s="941">
        <f>+'Part VI-Pro Forma'!D25</f>
        <v>236988.89168000006</v>
      </c>
      <c r="E44" s="941">
        <f>+'Part VI-Pro Forma'!E25</f>
        <v>238654.69298160003</v>
      </c>
      <c r="F44" s="941">
        <f>+'Part VI-Pro Forma'!F25</f>
        <v>240261.49221327194</v>
      </c>
      <c r="G44" s="941">
        <f>+'Part VI-Pro Forma'!G25</f>
        <v>241805.62279073868</v>
      </c>
      <c r="H44" s="941">
        <f>+'Part VI-Pro Forma'!H25</f>
        <v>243283.26180175081</v>
      </c>
      <c r="I44" s="941">
        <f>+'Part VI-Pro Forma'!I25</f>
        <v>244689.42438963879</v>
      </c>
      <c r="J44" s="941">
        <f>+'Part VI-Pro Forma'!J25</f>
        <v>246018.95794984035</v>
      </c>
      <c r="K44" s="941">
        <f>+'Part VI-Pro Forma'!K25</f>
        <v>247269.53613341803</v>
      </c>
    </row>
    <row r="45" spans="1:11">
      <c r="A45" s="940" t="s">
        <v>3351</v>
      </c>
      <c r="B45" s="941">
        <f>SUM('Part VI-Pro Forma'!B26:B29)</f>
        <v>-190469.53217866831</v>
      </c>
      <c r="C45" s="941">
        <f>SUM('Part VI-Pro Forma'!C26:C29)</f>
        <v>-190912.63317866833</v>
      </c>
      <c r="D45" s="941">
        <f>SUM('Part VI-Pro Forma'!D26:D29)</f>
        <v>-191342.95509866835</v>
      </c>
      <c r="E45" s="941">
        <f>SUM('Part VI-Pro Forma'!E26:E29)</f>
        <v>-191759.40542406833</v>
      </c>
      <c r="F45" s="941">
        <f>SUM('Part VI-Pro Forma'!F26:F29)</f>
        <v>-192161.10523198632</v>
      </c>
      <c r="G45" s="941">
        <f>SUM('Part VI-Pro Forma'!G26:G29)</f>
        <v>-192547.13787635299</v>
      </c>
      <c r="H45" s="941">
        <f>SUM('Part VI-Pro Forma'!H26:H29)</f>
        <v>-192916.54762910603</v>
      </c>
      <c r="I45" s="941">
        <f>SUM('Part VI-Pro Forma'!I26:I29)</f>
        <v>-193268.08827607802</v>
      </c>
      <c r="J45" s="941">
        <f>SUM('Part VI-Pro Forma'!J26:J29)</f>
        <v>-193600.47166612843</v>
      </c>
      <c r="K45" s="941">
        <f>SUM('Part VI-Pro Forma'!K26:K29)</f>
        <v>-193913.11621202284</v>
      </c>
    </row>
    <row r="46" spans="1:11">
      <c r="A46" s="940" t="s">
        <v>3352</v>
      </c>
      <c r="B46" s="942">
        <f t="shared" ref="B46:K46" si="0">-B44/B48-B45</f>
        <v>-4109.8011546650087</v>
      </c>
      <c r="C46" s="942">
        <f t="shared" si="0"/>
        <v>-5143.7034879983403</v>
      </c>
      <c r="D46" s="942">
        <f t="shared" si="0"/>
        <v>-6147.7879679983889</v>
      </c>
      <c r="E46" s="942">
        <f t="shared" si="0"/>
        <v>-7119.5053939317004</v>
      </c>
      <c r="F46" s="942">
        <f t="shared" si="0"/>
        <v>-8056.8049457402958</v>
      </c>
      <c r="G46" s="942">
        <f t="shared" si="0"/>
        <v>-8957.5477825959097</v>
      </c>
      <c r="H46" s="942">
        <f t="shared" si="0"/>
        <v>-9819.5038723529724</v>
      </c>
      <c r="I46" s="942">
        <f t="shared" si="0"/>
        <v>-10639.765381954319</v>
      </c>
      <c r="J46" s="942">
        <f t="shared" si="0"/>
        <v>-11415.3266254052</v>
      </c>
      <c r="K46" s="942">
        <f t="shared" si="0"/>
        <v>-12144.830565825541</v>
      </c>
    </row>
    <row r="48" spans="1:11">
      <c r="A48" s="940" t="s">
        <v>3353</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233495.19999999995</v>
      </c>
      <c r="C51" s="942">
        <f t="shared" ref="C51:K51" si="2">+C44</f>
        <v>235267.60399999999</v>
      </c>
      <c r="D51" s="942">
        <f t="shared" si="2"/>
        <v>236988.89168000006</v>
      </c>
      <c r="E51" s="942">
        <f t="shared" si="2"/>
        <v>238654.69298160003</v>
      </c>
      <c r="F51" s="942">
        <f t="shared" si="2"/>
        <v>240261.49221327194</v>
      </c>
      <c r="G51" s="942">
        <f t="shared" si="2"/>
        <v>241805.62279073868</v>
      </c>
      <c r="H51" s="942">
        <f t="shared" si="2"/>
        <v>243283.26180175081</v>
      </c>
      <c r="I51" s="942">
        <f t="shared" si="2"/>
        <v>244689.42438963879</v>
      </c>
      <c r="J51" s="942">
        <f t="shared" si="2"/>
        <v>246018.95794984035</v>
      </c>
      <c r="K51" s="942">
        <f t="shared" si="2"/>
        <v>247269.53613341803</v>
      </c>
    </row>
    <row r="52" spans="1:17">
      <c r="A52" s="940" t="s">
        <v>3354</v>
      </c>
      <c r="B52" s="942">
        <f>IF($B$25="N/A",B45,B45+$B$25)</f>
        <v>-194579.33333333331</v>
      </c>
      <c r="C52" s="942">
        <f t="shared" ref="C52:K52" si="3">IF($B$25="N/A",C45,C45+$B$25)</f>
        <v>-195022.43433333334</v>
      </c>
      <c r="D52" s="942">
        <f t="shared" si="3"/>
        <v>-195452.75625333335</v>
      </c>
      <c r="E52" s="942">
        <f t="shared" si="3"/>
        <v>-195869.20657873334</v>
      </c>
      <c r="F52" s="942">
        <f t="shared" si="3"/>
        <v>-196270.90638665133</v>
      </c>
      <c r="G52" s="942">
        <f t="shared" si="3"/>
        <v>-196656.939031018</v>
      </c>
      <c r="H52" s="942">
        <f t="shared" si="3"/>
        <v>-197026.34878377104</v>
      </c>
      <c r="I52" s="942">
        <f t="shared" si="3"/>
        <v>-197377.88943074303</v>
      </c>
      <c r="J52" s="942">
        <f t="shared" si="3"/>
        <v>-197710.27282079344</v>
      </c>
      <c r="K52" s="942">
        <f t="shared" si="3"/>
        <v>-198022.91736668785</v>
      </c>
    </row>
    <row r="53" spans="1:17">
      <c r="A53" s="940" t="s">
        <v>3355</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3356</v>
      </c>
      <c r="B54" s="942">
        <f>+SUM(B51:B53)</f>
        <v>31415.86666666664</v>
      </c>
      <c r="C54" s="942">
        <f t="shared" ref="C54:K54" si="4">+SUM(C51:C53)</f>
        <v>32745.169666666654</v>
      </c>
      <c r="D54" s="942">
        <f t="shared" si="4"/>
        <v>34036.135426666704</v>
      </c>
      <c r="E54" s="942">
        <f t="shared" si="4"/>
        <v>35285.486402866693</v>
      </c>
      <c r="F54" s="942">
        <f t="shared" si="4"/>
        <v>36490.585826620605</v>
      </c>
      <c r="G54" s="942">
        <f t="shared" si="4"/>
        <v>37648.683759720676</v>
      </c>
      <c r="H54" s="942">
        <f t="shared" si="4"/>
        <v>38756.913017979765</v>
      </c>
      <c r="I54" s="942">
        <f t="shared" si="4"/>
        <v>39811.534958895762</v>
      </c>
      <c r="J54" s="942">
        <f t="shared" si="4"/>
        <v>40808.685129046906</v>
      </c>
      <c r="K54" s="942">
        <f t="shared" si="4"/>
        <v>41746.618766730186</v>
      </c>
    </row>
    <row r="55" spans="1:17">
      <c r="A55" s="940" t="s">
        <v>3274</v>
      </c>
      <c r="B55" s="942">
        <f>-B54</f>
        <v>-31415.86666666664</v>
      </c>
      <c r="C55" s="942">
        <f t="shared" ref="C55:K55" si="5">-C54</f>
        <v>-32745.169666666654</v>
      </c>
      <c r="D55" s="942">
        <f t="shared" si="5"/>
        <v>-34036.135426666704</v>
      </c>
      <c r="E55" s="942">
        <f t="shared" si="5"/>
        <v>-35285.486402866693</v>
      </c>
      <c r="F55" s="942">
        <f t="shared" si="5"/>
        <v>-36490.585826620605</v>
      </c>
      <c r="G55" s="942">
        <f t="shared" si="5"/>
        <v>-37648.683759720676</v>
      </c>
      <c r="H55" s="942">
        <f t="shared" si="5"/>
        <v>-38756.913017979765</v>
      </c>
      <c r="I55" s="942">
        <f t="shared" si="5"/>
        <v>-39811.534958895762</v>
      </c>
      <c r="J55" s="942">
        <f t="shared" si="5"/>
        <v>-40808.685129046906</v>
      </c>
      <c r="K55" s="942">
        <f t="shared" si="5"/>
        <v>-41746.618766730186</v>
      </c>
    </row>
    <row r="56" spans="1:17">
      <c r="A56" s="940" t="s">
        <v>3357</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3358</v>
      </c>
      <c r="B58" s="941">
        <f>IF($B$26="","",-FV('Part II-Sources of Funds'!$K$40/12,12,B52/12,B26))</f>
        <v>1625411.3426274492</v>
      </c>
      <c r="C58" s="941">
        <f>IF($B$26="","",-FV('Part II-Sources of Funds'!$K$40/12,12,C52/12,C26))</f>
        <v>-202101.11399036957</v>
      </c>
      <c r="D58" s="941">
        <f>IF($B$26="","",-FV('Part II-Sources of Funds'!$K$40/12,12,D52/12,D26))</f>
        <v>-202547.05519556359</v>
      </c>
      <c r="E58" s="941">
        <f>IF($B$26="","",-FV('Part II-Sources of Funds'!$K$40/12,12,E52/12,E26))</f>
        <v>-202978.62131241933</v>
      </c>
      <c r="F58" s="941">
        <f>IF($B$26="","",-FV('Part II-Sources of Funds'!$K$40/12,12,F52/12,F26))</f>
        <v>-203394.90151601471</v>
      </c>
      <c r="G58" s="941">
        <f>IF($B$26="","",-FV('Part II-Sources of Funds'!$K$40/12,12,G52/12,G26))</f>
        <v>-203794.94588901132</v>
      </c>
      <c r="H58" s="941">
        <f>IF($B$26="","",-FV('Part II-Sources of Funds'!$K$40/12,12,H52/12,H26))</f>
        <v>-204177.76401352865</v>
      </c>
      <c r="I58" s="941">
        <f>IF($B$26="","",-FV('Part II-Sources of Funds'!$K$40/12,12,I52/12,I26))</f>
        <v>-204542.06444188091</v>
      </c>
      <c r="J58" s="941">
        <f>IF($B$26="","",-FV('Part II-Sources of Funds'!$K$40/12,12,J52/12,J26))</f>
        <v>-204886.51226723351</v>
      </c>
      <c r="K58" s="941">
        <f>IF($B$26="","",-FV('Part II-Sources of Funds'!$K$40/12,12,K52/12,K26))</f>
        <v>-205210.5047926282</v>
      </c>
    </row>
    <row r="59" spans="1:17">
      <c r="A59" s="940" t="s">
        <v>3275</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3350</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248433.65265140508</v>
      </c>
      <c r="C64" s="941">
        <f>+'Part VI-Pro Forma'!C57</f>
        <v>249508.61487361096</v>
      </c>
      <c r="D64" s="941">
        <f>+'Part VI-Pro Forma'!D57</f>
        <v>250488.5372153366</v>
      </c>
      <c r="E64" s="941">
        <f>+'Part VI-Pro Forma'!E57</f>
        <v>251366.33430522424</v>
      </c>
      <c r="F64" s="941">
        <f>+'Part VI-Pro Forma'!F57</f>
        <v>252138.7139272771</v>
      </c>
      <c r="G64" s="941">
        <f>+'Part VI-Pro Forma'!G57</f>
        <v>252799.16972984924</v>
      </c>
      <c r="H64" s="941">
        <f>+'Part VI-Pro Forma'!H57</f>
        <v>253340.9736941942</v>
      </c>
      <c r="I64" s="941">
        <f>+'Part VI-Pro Forma'!I57</f>
        <v>253758.16835491807</v>
      </c>
      <c r="J64" s="941">
        <f>+'Part VI-Pro Forma'!J57</f>
        <v>254044.55876446154</v>
      </c>
      <c r="K64" s="941">
        <f>+'Part VI-Pro Forma'!K57</f>
        <v>254192.70419346943</v>
      </c>
    </row>
    <row r="65" spans="1:11">
      <c r="A65" s="940" t="s">
        <v>3351</v>
      </c>
      <c r="B65" s="941">
        <f>SUM('Part VI-Pro Forma'!B58:B61)</f>
        <v>-194204.14534151962</v>
      </c>
      <c r="C65" s="941">
        <f>SUM('Part VI-Pro Forma'!C58:C61)</f>
        <v>-194472.88589707107</v>
      </c>
      <c r="D65" s="941">
        <f>SUM('Part VI-Pro Forma'!D58:D61)</f>
        <v>-194717.86648250249</v>
      </c>
      <c r="E65" s="941">
        <f>SUM('Part VI-Pro Forma'!E58:E61)</f>
        <v>-194937.31575497438</v>
      </c>
      <c r="F65" s="941">
        <f>SUM('Part VI-Pro Forma'!F58:F61)</f>
        <v>-195130.4106604876</v>
      </c>
      <c r="G65" s="941">
        <f>SUM('Part VI-Pro Forma'!G58:G61)</f>
        <v>-197170.52461113065</v>
      </c>
      <c r="H65" s="941">
        <f>SUM('Part VI-Pro Forma'!H58:H61)</f>
        <v>-197305.97560221687</v>
      </c>
      <c r="I65" s="941">
        <f>SUM('Part VI-Pro Forma'!I58:I61)</f>
        <v>-197410.27426739785</v>
      </c>
      <c r="J65" s="941">
        <f>SUM('Part VI-Pro Forma'!J58:J61)</f>
        <v>-197481.87186978373</v>
      </c>
      <c r="K65" s="941">
        <f>SUM('Part VI-Pro Forma'!K58:K61)</f>
        <v>-197518.90822703569</v>
      </c>
    </row>
    <row r="66" spans="1:11">
      <c r="A66" s="940" t="s">
        <v>3352</v>
      </c>
      <c r="B66" s="942">
        <f t="shared" ref="B66:K66" si="7">-B64/B68-B65</f>
        <v>-12823.898534651293</v>
      </c>
      <c r="C66" s="942">
        <f t="shared" si="7"/>
        <v>-13450.959830938082</v>
      </c>
      <c r="D66" s="942">
        <f t="shared" si="7"/>
        <v>-14022.581196944695</v>
      </c>
      <c r="E66" s="942">
        <f t="shared" si="7"/>
        <v>-14534.629499379167</v>
      </c>
      <c r="F66" s="942">
        <f t="shared" si="7"/>
        <v>-14985.18427890999</v>
      </c>
      <c r="G66" s="942">
        <f t="shared" si="7"/>
        <v>-13495.450163743721</v>
      </c>
      <c r="H66" s="942">
        <f t="shared" si="7"/>
        <v>-13811.502476278285</v>
      </c>
      <c r="I66" s="942">
        <f t="shared" si="7"/>
        <v>-14054.866028367222</v>
      </c>
      <c r="J66" s="942">
        <f t="shared" si="7"/>
        <v>-14221.927100600908</v>
      </c>
      <c r="K66" s="942">
        <f t="shared" si="7"/>
        <v>-14308.345267522178</v>
      </c>
    </row>
    <row r="68" spans="1:11">
      <c r="A68" s="940" t="s">
        <v>3353</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248433.65265140508</v>
      </c>
      <c r="C71" s="942">
        <f t="shared" si="9"/>
        <v>249508.61487361096</v>
      </c>
      <c r="D71" s="942">
        <f t="shared" si="9"/>
        <v>250488.5372153366</v>
      </c>
      <c r="E71" s="942">
        <f t="shared" si="9"/>
        <v>251366.33430522424</v>
      </c>
      <c r="F71" s="942">
        <f t="shared" si="9"/>
        <v>252138.7139272771</v>
      </c>
      <c r="G71" s="942">
        <f t="shared" si="9"/>
        <v>252799.16972984924</v>
      </c>
      <c r="H71" s="942">
        <f>+H64</f>
        <v>253340.9736941942</v>
      </c>
      <c r="I71" s="942">
        <f>+I64</f>
        <v>253758.16835491807</v>
      </c>
      <c r="J71" s="942">
        <f>+J64</f>
        <v>254044.55876446154</v>
      </c>
      <c r="K71" s="942">
        <f>+K64</f>
        <v>254192.70419346943</v>
      </c>
    </row>
    <row r="72" spans="1:11">
      <c r="A72" s="940" t="s">
        <v>3354</v>
      </c>
      <c r="B72" s="942">
        <f t="shared" ref="B72:G72" si="10">IF($B$25="N/A",B65,B65+$B$25)</f>
        <v>-198313.94649618462</v>
      </c>
      <c r="C72" s="942">
        <f t="shared" si="10"/>
        <v>-198582.68705173608</v>
      </c>
      <c r="D72" s="942">
        <f t="shared" si="10"/>
        <v>-198827.6676371675</v>
      </c>
      <c r="E72" s="942">
        <f t="shared" si="10"/>
        <v>-199047.11690963939</v>
      </c>
      <c r="F72" s="942">
        <f t="shared" si="10"/>
        <v>-199240.21181515261</v>
      </c>
      <c r="G72" s="942">
        <f t="shared" si="10"/>
        <v>-201280.32576579566</v>
      </c>
      <c r="H72" s="942">
        <f>IF($B$25="N/A",H65,H65+$B$25)</f>
        <v>-201415.77675688188</v>
      </c>
      <c r="I72" s="942">
        <f>IF($B$25="N/A",I65,I65+$B$25)</f>
        <v>-201520.07542206286</v>
      </c>
      <c r="J72" s="942">
        <f>IF($B$25="N/A",J65,J65+$B$25)</f>
        <v>-201591.67302444874</v>
      </c>
      <c r="K72" s="942">
        <f>IF($B$25="N/A",K65,K65+$B$25)</f>
        <v>-201628.7093817007</v>
      </c>
    </row>
    <row r="73" spans="1:11">
      <c r="A73" s="940" t="s">
        <v>3355</v>
      </c>
      <c r="B73" s="941">
        <f>+'Part VI-Pro Forma'!B63</f>
        <v>-7500</v>
      </c>
      <c r="C73" s="941">
        <f>+'Part VI-Pro Forma'!C63</f>
        <v>-7500</v>
      </c>
      <c r="D73" s="941">
        <f>+'Part VI-Pro Forma'!D63</f>
        <v>-7500</v>
      </c>
      <c r="E73" s="941">
        <f>+'Part VI-Pro Forma'!E63</f>
        <v>-7500</v>
      </c>
      <c r="F73" s="941">
        <f>+'Part VI-Pro Forma'!F63</f>
        <v>-7500</v>
      </c>
      <c r="G73" s="941">
        <f>+'Part VI-Pro Forma'!G63</f>
        <v>0</v>
      </c>
      <c r="H73" s="941">
        <f>+'Part VI-Pro Forma'!H63</f>
        <v>0</v>
      </c>
      <c r="I73" s="941">
        <f>+'Part VI-Pro Forma'!I63</f>
        <v>0</v>
      </c>
      <c r="J73" s="941">
        <f>+'Part VI-Pro Forma'!J63</f>
        <v>0</v>
      </c>
      <c r="K73" s="941">
        <f>+'Part VI-Pro Forma'!K63</f>
        <v>0</v>
      </c>
    </row>
    <row r="74" spans="1:11">
      <c r="A74" s="940" t="s">
        <v>3356</v>
      </c>
      <c r="B74" s="942">
        <f t="shared" ref="B74:G74" si="11">+SUM(B71:B73)</f>
        <v>42619.706155220454</v>
      </c>
      <c r="C74" s="942">
        <f t="shared" si="11"/>
        <v>43425.92782187488</v>
      </c>
      <c r="D74" s="942">
        <f t="shared" si="11"/>
        <v>44160.869578169106</v>
      </c>
      <c r="E74" s="942">
        <f t="shared" si="11"/>
        <v>44819.217395584856</v>
      </c>
      <c r="F74" s="942">
        <f t="shared" si="11"/>
        <v>45398.502112124494</v>
      </c>
      <c r="G74" s="942">
        <f t="shared" si="11"/>
        <v>51518.84396405358</v>
      </c>
      <c r="H74" s="942">
        <f>+SUM(H71:H73)</f>
        <v>51925.196937312314</v>
      </c>
      <c r="I74" s="942">
        <f>+SUM(I71:I73)</f>
        <v>52238.092932855216</v>
      </c>
      <c r="J74" s="942">
        <f>+SUM(J71:J73)</f>
        <v>52452.885740012804</v>
      </c>
      <c r="K74" s="942">
        <f>+SUM(K71:K73)</f>
        <v>52563.994811768731</v>
      </c>
    </row>
    <row r="75" spans="1:11">
      <c r="A75" s="940" t="s">
        <v>3274</v>
      </c>
      <c r="B75" s="942">
        <f t="shared" ref="B75:G75" si="12">-B74</f>
        <v>-42619.706155220454</v>
      </c>
      <c r="C75" s="942">
        <f t="shared" si="12"/>
        <v>-43425.92782187488</v>
      </c>
      <c r="D75" s="942">
        <f t="shared" si="12"/>
        <v>-44160.869578169106</v>
      </c>
      <c r="E75" s="942">
        <f t="shared" si="12"/>
        <v>-44819.217395584856</v>
      </c>
      <c r="F75" s="942">
        <f t="shared" si="12"/>
        <v>-45398.502112124494</v>
      </c>
      <c r="G75" s="942">
        <f t="shared" si="12"/>
        <v>-51518.84396405358</v>
      </c>
      <c r="H75" s="942">
        <f>-H74</f>
        <v>-51925.196937312314</v>
      </c>
      <c r="I75" s="942">
        <f>-I74</f>
        <v>-52238.092932855216</v>
      </c>
      <c r="J75" s="942">
        <f>-J74</f>
        <v>-52452.885740012804</v>
      </c>
      <c r="K75" s="942">
        <f>-K74</f>
        <v>-52563.994811768731</v>
      </c>
    </row>
    <row r="76" spans="1:11">
      <c r="A76" s="940" t="s">
        <v>3357</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3358</v>
      </c>
      <c r="B78" s="941">
        <f>IF($B$26="","",-FV('Part II-Sources of Funds'!$K$40/12,12,B72/12,K58))</f>
        <v>-427203.6729393464</v>
      </c>
      <c r="C78" s="941">
        <f>IF($B$26="","",-FV('Part II-Sources of Funds'!$K$40/12,12,C72/12,L58))</f>
        <v>-205790.59229544812</v>
      </c>
      <c r="D78" s="941">
        <f>IF($B$26="","",-FV('Part II-Sources of Funds'!$K$40/12,12,D72/12,M58))</f>
        <v>-206044.46487883039</v>
      </c>
      <c r="E78" s="941">
        <f>IF($B$26="","",-FV('Part II-Sources of Funds'!$K$40/12,12,E72/12,N58))</f>
        <v>-206271.87944568548</v>
      </c>
      <c r="F78" s="941">
        <f>IF($B$26="","",-FV('Part II-Sources of Funds'!$K$40/12,12,F72/12,O58))</f>
        <v>-206471.9830678328</v>
      </c>
      <c r="G78" s="941">
        <f>IF($B$26="","",-FV('Part II-Sources of Funds'!$K$40/12,12,G72/12,P58))</f>
        <v>-208586.14651524177</v>
      </c>
      <c r="H78" s="941">
        <f>IF($B$26="","",-FV('Part II-Sources of Funds'!$K$40/12,12,H72/12,Q58))</f>
        <v>-208726.51393647314</v>
      </c>
      <c r="I78" s="941">
        <f>IF($B$26="","",-FV('Part II-Sources of Funds'!$K$40/12,12,I72/12,R58))</f>
        <v>-208834.59830375545</v>
      </c>
      <c r="J78" s="941">
        <f>IF($B$26="","",-FV('Part II-Sources of Funds'!$K$40/12,12,J72/12,S58))</f>
        <v>-208908.79466609037</v>
      </c>
      <c r="K78" s="941">
        <f>IF($B$26="","",-FV('Part II-Sources of Funds'!$K$40/12,12,K72/12,T58))</f>
        <v>-208947.17532257407</v>
      </c>
    </row>
    <row r="79" spans="1:11">
      <c r="A79" s="940" t="s">
        <v>3275</v>
      </c>
    </row>
    <row r="82" spans="1:2">
      <c r="A82" s="940" t="s">
        <v>3359</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2698</v>
      </c>
      <c r="B1" s="514"/>
      <c r="C1" s="513" t="str">
        <f>'Sensitivity Analysis'!C8</f>
        <v>Lewis Crossing</v>
      </c>
    </row>
    <row r="2" spans="1:15" ht="13.5" customHeight="1"/>
    <row r="3" spans="1:15" ht="13.5" customHeight="1">
      <c r="A3" s="514" t="s">
        <v>2699</v>
      </c>
      <c r="C3" s="513" t="s">
        <v>2700</v>
      </c>
      <c r="E3" s="575">
        <f>SUM('Part III-A-Uses of Funds'!J162,'Part III-A-Uses of Funds'!M162,'Part III-A-Uses of Funds'!P162)</f>
        <v>18593631</v>
      </c>
      <c r="F3" s="1003" t="s">
        <v>2701</v>
      </c>
      <c r="H3" s="988">
        <v>27.5</v>
      </c>
      <c r="I3" s="513" t="s">
        <v>2267</v>
      </c>
      <c r="K3" s="518" t="s">
        <v>2722</v>
      </c>
      <c r="M3" s="1003"/>
      <c r="O3" s="576"/>
    </row>
    <row r="4" spans="1:15" ht="13.5" customHeight="1">
      <c r="C4" s="513" t="s">
        <v>3044</v>
      </c>
      <c r="E4" s="575">
        <f>SUM('Part III-A-Uses of Funds'!G97:H101)</f>
        <v>84500</v>
      </c>
      <c r="F4" s="1003" t="s">
        <v>3542</v>
      </c>
      <c r="H4" s="514">
        <f>'Part II-Sources of Funds'!M40</f>
        <v>40</v>
      </c>
      <c r="I4" s="513" t="s">
        <v>2267</v>
      </c>
      <c r="K4" s="577" t="s">
        <v>2891</v>
      </c>
      <c r="M4" s="1003"/>
    </row>
    <row r="5" spans="1:15" ht="13.5" customHeight="1">
      <c r="C5" s="513" t="s">
        <v>3045</v>
      </c>
      <c r="E5" s="575">
        <f>SUM('Part III-A-Uses of Funds'!G105:H111)</f>
        <v>176000</v>
      </c>
      <c r="F5" s="1003" t="s">
        <v>3541</v>
      </c>
      <c r="H5" s="988">
        <v>15</v>
      </c>
      <c r="I5" s="513" t="s">
        <v>2267</v>
      </c>
      <c r="K5" s="576">
        <f>-E6</f>
        <v>-18088853</v>
      </c>
    </row>
    <row r="6" spans="1:15" ht="13.5" customHeight="1">
      <c r="C6" s="513" t="s">
        <v>2702</v>
      </c>
      <c r="E6" s="578">
        <f>'Part II-Sources of Funds'!$I$51+'Part II-Sources of Funds'!$I$52</f>
        <v>18088853</v>
      </c>
      <c r="F6" s="1003" t="s">
        <v>2703</v>
      </c>
      <c r="H6" s="579">
        <v>0.35</v>
      </c>
      <c r="K6" s="576" t="e">
        <f>C24</f>
        <v>#VALUE!</v>
      </c>
      <c r="M6" s="513" t="s">
        <v>2704</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2705</v>
      </c>
      <c r="O8" s="965" t="e">
        <f>#REF!+#REF!+#REF!</f>
        <v>#REF!</v>
      </c>
    </row>
    <row r="9" spans="1:15" ht="13.5" customHeight="1">
      <c r="A9" s="513" t="s">
        <v>2706</v>
      </c>
      <c r="C9" s="583">
        <f>'Part VI-Pro Forma'!B33</f>
        <v>17535.937821331634</v>
      </c>
      <c r="D9" s="583">
        <f>'Part VI-Pro Forma'!C33</f>
        <v>18865.240821331663</v>
      </c>
      <c r="E9" s="583">
        <f>'Part VI-Pro Forma'!D33</f>
        <v>20156.206581331713</v>
      </c>
      <c r="F9" s="583">
        <f>'Part VI-Pro Forma'!E33</f>
        <v>21405.557557531694</v>
      </c>
      <c r="G9" s="583">
        <f>'Part VI-Pro Forma'!F33</f>
        <v>22610.656981285621</v>
      </c>
      <c r="H9" s="583">
        <f>'Part VI-Pro Forma'!G33</f>
        <v>23768.754914385678</v>
      </c>
      <c r="I9" s="583">
        <f>'Part VI-Pro Forma'!H33</f>
        <v>24876.984172644774</v>
      </c>
      <c r="K9" s="576" t="e">
        <f>F24</f>
        <v>#VALUE!</v>
      </c>
      <c r="N9" s="584" t="s">
        <v>2708</v>
      </c>
    </row>
    <row r="10" spans="1:15" ht="13.5" customHeight="1">
      <c r="A10" s="513" t="s">
        <v>2707</v>
      </c>
      <c r="C10" s="962">
        <f>'Part II-Sources of Funds'!I40-'Part VI-Pro Forma'!B40</f>
        <v>8422.6498905601911</v>
      </c>
      <c r="D10" s="585">
        <f>'Part VI-Pro Forma'!B40-'Part VI-Pro Forma'!C40</f>
        <v>9099.0981524614617</v>
      </c>
      <c r="E10" s="585">
        <f>'Part VI-Pro Forma'!C40-'Part VI-Pro Forma'!D40</f>
        <v>9829.874002114404</v>
      </c>
      <c r="F10" s="585">
        <f>'Part VI-Pro Forma'!D40-'Part VI-Pro Forma'!E40</f>
        <v>10619.340650952887</v>
      </c>
      <c r="G10" s="585">
        <f>'Part VI-Pro Forma'!E40-'Part VI-Pro Forma'!F40</f>
        <v>11472.211733001284</v>
      </c>
      <c r="H10" s="585">
        <f>'Part VI-Pro Forma'!F40-'Part VI-Pro Forma'!G40</f>
        <v>12393.579448362347</v>
      </c>
      <c r="I10" s="585">
        <f>'Part VI-Pro Forma'!G40-'Part VI-Pro Forma'!H40</f>
        <v>13388.944966995623</v>
      </c>
      <c r="K10" s="576" t="e">
        <f>G24</f>
        <v>#VALUE!</v>
      </c>
      <c r="N10" s="584" t="s">
        <v>2709</v>
      </c>
      <c r="O10" s="581"/>
    </row>
    <row r="11" spans="1:15" ht="13.5" customHeight="1">
      <c r="A11" s="513" t="s">
        <v>2707</v>
      </c>
      <c r="C11" s="962">
        <f>'Part II-Sources of Funds'!I41-'Part VI-Pro Forma'!B41</f>
        <v>-8309.3504574202816</v>
      </c>
      <c r="D11" s="585">
        <f>'Part VI-Pro Forma'!B41-'Part VI-Pro Forma'!C41</f>
        <v>-8196.5707554842811</v>
      </c>
      <c r="E11" s="585">
        <f>'Part VI-Pro Forma'!C41-'Part VI-Pro Forma'!D41</f>
        <v>-8092.2122203887557</v>
      </c>
      <c r="F11" s="585">
        <f>'Part VI-Pro Forma'!D41-'Part VI-Pro Forma'!E41</f>
        <v>-7997.7307117257733</v>
      </c>
      <c r="G11" s="585">
        <f>'Part VI-Pro Forma'!E41-'Part VI-Pro Forma'!F41</f>
        <v>-7914.4238516493933</v>
      </c>
      <c r="H11" s="585">
        <f>'Part VI-Pro Forma'!F41-'Part VI-Pro Forma'!G41</f>
        <v>-7843.6805519640911</v>
      </c>
      <c r="I11" s="585">
        <f>'Part VI-Pro Forma'!G41-'Part VI-Pro Forma'!H41</f>
        <v>-7786.986117401626</v>
      </c>
      <c r="K11" s="576" t="e">
        <f>H24</f>
        <v>#VALUE!</v>
      </c>
      <c r="O11" s="581"/>
    </row>
    <row r="12" spans="1:15" ht="13.5" customHeight="1">
      <c r="A12" s="513" t="s">
        <v>2707</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2711</v>
      </c>
      <c r="N12" s="586">
        <v>0.06</v>
      </c>
      <c r="O12" s="581">
        <f>N12*O6</f>
        <v>0</v>
      </c>
    </row>
    <row r="13" spans="1:15" ht="13.5" customHeight="1">
      <c r="A13" s="587" t="s">
        <v>3046</v>
      </c>
      <c r="B13" s="587"/>
      <c r="C13" s="963">
        <f>'Part VI-Pro Forma'!B23</f>
        <v>-15000</v>
      </c>
      <c r="D13" s="963">
        <f>'Part VI-Pro Forma'!C23</f>
        <v>-15450</v>
      </c>
      <c r="E13" s="963">
        <f>'Part VI-Pro Forma'!D23</f>
        <v>-15913.5</v>
      </c>
      <c r="F13" s="963">
        <f>'Part VI-Pro Forma'!E23</f>
        <v>-16390.904999999999</v>
      </c>
      <c r="G13" s="963">
        <f>'Part VI-Pro Forma'!F23</f>
        <v>-16882.632149999998</v>
      </c>
      <c r="H13" s="963">
        <f>'Part VI-Pro Forma'!G23</f>
        <v>-17389.111114499996</v>
      </c>
      <c r="I13" s="963">
        <f>'Part VI-Pro Forma'!H23</f>
        <v>-17910.784447934999</v>
      </c>
      <c r="K13" s="576" t="e">
        <f>C44</f>
        <v>#VALUE!</v>
      </c>
      <c r="O13" s="581"/>
    </row>
    <row r="14" spans="1:15" ht="13.5" customHeight="1">
      <c r="A14" s="587" t="s">
        <v>3047</v>
      </c>
      <c r="B14" s="587"/>
      <c r="C14" s="963">
        <f>'Part VI-Pro Forma'!B32</f>
        <v>-17989.73</v>
      </c>
      <c r="D14" s="963">
        <f>'Part VI-Pro Forma'!C32</f>
        <v>-17989.73</v>
      </c>
      <c r="E14" s="963">
        <f>'Part VI-Pro Forma'!D32</f>
        <v>-17989.73</v>
      </c>
      <c r="F14" s="963">
        <f>'Part VI-Pro Forma'!E32</f>
        <v>-17989.73</v>
      </c>
      <c r="G14" s="963">
        <f>'Part VI-Pro Forma'!F32</f>
        <v>-17989.73</v>
      </c>
      <c r="H14" s="963">
        <f>'Part VI-Pro Forma'!G32</f>
        <v>-17989.73</v>
      </c>
      <c r="I14" s="963">
        <f>'Part VI-Pro Forma'!H32</f>
        <v>-17989.73</v>
      </c>
      <c r="K14" s="576" t="e">
        <f>D44</f>
        <v>#VALUE!</v>
      </c>
      <c r="M14" s="513" t="s">
        <v>2714</v>
      </c>
      <c r="O14" s="581" t="e">
        <f>O6-O8-O12</f>
        <v>#REF!</v>
      </c>
    </row>
    <row r="15" spans="1:15" ht="13.5" customHeight="1">
      <c r="A15" s="513" t="s">
        <v>2710</v>
      </c>
      <c r="C15" s="588">
        <f t="shared" ref="C15:I15" si="0">$E$3/$H$3</f>
        <v>676132.03636363638</v>
      </c>
      <c r="D15" s="588">
        <f t="shared" si="0"/>
        <v>676132.03636363638</v>
      </c>
      <c r="E15" s="588">
        <f t="shared" si="0"/>
        <v>676132.03636363638</v>
      </c>
      <c r="F15" s="588">
        <f t="shared" si="0"/>
        <v>676132.03636363638</v>
      </c>
      <c r="G15" s="588">
        <f t="shared" si="0"/>
        <v>676132.03636363638</v>
      </c>
      <c r="H15" s="588">
        <f t="shared" si="0"/>
        <v>676132.03636363638</v>
      </c>
      <c r="I15" s="588">
        <f t="shared" si="0"/>
        <v>676132.03636363638</v>
      </c>
      <c r="K15" s="576" t="e">
        <f>E44</f>
        <v>#VALUE!</v>
      </c>
      <c r="O15" s="581"/>
    </row>
    <row r="16" spans="1:15" ht="13.5" customHeight="1">
      <c r="A16" s="513" t="s">
        <v>2712</v>
      </c>
      <c r="C16" s="588">
        <f>IF(C$8&lt;=$H$4,($E$4/$H$4),0)+IF(C$8&lt;=$H$5,($E$5/$H$5),0)</f>
        <v>13845.833333333334</v>
      </c>
      <c r="D16" s="588">
        <f t="shared" ref="D16:I16" si="1">IF(D$8&lt;=$H$4,($E$4/$H$4),0)+IF(D$8&lt;=$H$5,($E$5/$H$5),0)</f>
        <v>13845.833333333334</v>
      </c>
      <c r="E16" s="588">
        <f t="shared" si="1"/>
        <v>13845.833333333334</v>
      </c>
      <c r="F16" s="588">
        <f t="shared" si="1"/>
        <v>13845.833333333334</v>
      </c>
      <c r="G16" s="588">
        <f t="shared" si="1"/>
        <v>13845.833333333334</v>
      </c>
      <c r="H16" s="588">
        <f t="shared" si="1"/>
        <v>13845.833333333334</v>
      </c>
      <c r="I16" s="588">
        <f t="shared" si="1"/>
        <v>13845.833333333334</v>
      </c>
      <c r="K16" s="576" t="e">
        <f>F44</f>
        <v>#VALUE!</v>
      </c>
      <c r="M16" s="513" t="s">
        <v>2716</v>
      </c>
      <c r="O16" s="581">
        <f>E3</f>
        <v>18593631</v>
      </c>
    </row>
    <row r="17" spans="1:17" ht="13.5" customHeight="1">
      <c r="A17" s="513" t="s">
        <v>2713</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2710</v>
      </c>
      <c r="O17" s="581">
        <f>20*(E3/H3)</f>
        <v>13522640.727272727</v>
      </c>
    </row>
    <row r="18" spans="1:17" ht="13.5" customHeight="1">
      <c r="A18" s="513" t="s">
        <v>2715</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2720</v>
      </c>
      <c r="O19" s="581">
        <f>O16-O17</f>
        <v>5070990.2727272734</v>
      </c>
    </row>
    <row r="20" spans="1:17" ht="13.5" customHeight="1">
      <c r="A20" s="513" t="s">
        <v>2717</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2718</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233</v>
      </c>
      <c r="K21" s="576" t="e">
        <f>D64</f>
        <v>#VALUE!</v>
      </c>
      <c r="O21" s="581"/>
    </row>
    <row r="22" spans="1:17" ht="13.5" customHeight="1">
      <c r="A22" s="513" t="s">
        <v>2719</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t="e">
        <f>E64</f>
        <v>#VALUE!</v>
      </c>
      <c r="M22" s="513" t="s">
        <v>2704</v>
      </c>
      <c r="O22" s="581">
        <f>O6</f>
        <v>0</v>
      </c>
    </row>
    <row r="23" spans="1:17" ht="13.5" customHeight="1">
      <c r="A23" s="513" t="s">
        <v>2721</v>
      </c>
      <c r="C23" s="583">
        <v>0</v>
      </c>
      <c r="D23" s="583">
        <v>0</v>
      </c>
      <c r="E23" s="583">
        <v>0</v>
      </c>
      <c r="F23" s="583">
        <v>0</v>
      </c>
      <c r="G23" s="583">
        <v>0</v>
      </c>
      <c r="H23" s="583">
        <v>0</v>
      </c>
      <c r="I23" s="583">
        <v>0</v>
      </c>
      <c r="K23" s="576" t="e">
        <f>F64</f>
        <v>#VALUE!</v>
      </c>
      <c r="M23" s="513" t="s">
        <v>2723</v>
      </c>
      <c r="O23" s="581">
        <f>O19</f>
        <v>5070990.2727272734</v>
      </c>
    </row>
    <row r="24" spans="1:17" ht="13.5" customHeight="1">
      <c r="A24" s="513" t="s">
        <v>2722</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2724</v>
      </c>
      <c r="O25" s="581">
        <f>O22-O23</f>
        <v>-5070990.2727272734</v>
      </c>
      <c r="Q25" s="590"/>
    </row>
    <row r="26" spans="1:17" ht="13.5" customHeight="1">
      <c r="A26" s="591"/>
      <c r="B26" s="591"/>
      <c r="C26" s="591"/>
      <c r="D26" s="591"/>
      <c r="E26" s="591"/>
      <c r="F26" s="591"/>
      <c r="G26" s="591"/>
      <c r="H26" s="591"/>
      <c r="I26" s="591"/>
      <c r="K26" s="576"/>
      <c r="O26" s="581"/>
    </row>
    <row r="27" spans="1:17" ht="13.5" customHeight="1">
      <c r="K27" s="576"/>
      <c r="M27" s="513" t="s">
        <v>2725</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2706</v>
      </c>
      <c r="C29" s="583">
        <f>'Part VI-Pro Forma'!I33</f>
        <v>25931.606113560763</v>
      </c>
      <c r="D29" s="583">
        <f>'Part VI-Pro Forma'!J33</f>
        <v>26928.756283711929</v>
      </c>
      <c r="E29" s="583">
        <f>'Part VI-Pro Forma'!K33</f>
        <v>27866.689921395195</v>
      </c>
      <c r="F29" s="583">
        <f>'Part VI-Pro Forma'!B65</f>
        <v>28739.777309885478</v>
      </c>
      <c r="G29" s="583">
        <f>'Part VI-Pro Forma'!C65</f>
        <v>29545.99897653989</v>
      </c>
      <c r="H29" s="583">
        <f>'Part VI-Pro Forma'!D65</f>
        <v>30280.940732834122</v>
      </c>
      <c r="I29" s="583">
        <f>'Part VI-Pro Forma'!E65</f>
        <v>30939.28855024985</v>
      </c>
      <c r="N29" s="592"/>
      <c r="O29" s="592"/>
    </row>
    <row r="30" spans="1:17" ht="13.5" customHeight="1">
      <c r="A30" s="513" t="s">
        <v>2707</v>
      </c>
      <c r="C30" s="585">
        <f>'Part VI-Pro Forma'!H40-'Part VI-Pro Forma'!I40</f>
        <v>14464.251274309587</v>
      </c>
      <c r="D30" s="585">
        <f>'Part VI-Pro Forma'!I40-'Part VI-Pro Forma'!J40</f>
        <v>15625.918654687935</v>
      </c>
      <c r="E30" s="585">
        <f>'Part VI-Pro Forma'!J40-'Part VI-Pro Forma'!K40</f>
        <v>16880.883024799172</v>
      </c>
      <c r="F30" s="960">
        <f>'Part VI-Pro Forma'!K40-'Part VI-Pro Forma'!B72</f>
        <v>18236.637345572468</v>
      </c>
      <c r="G30" s="960">
        <f>'Part VI-Pro Forma'!B72-'Part VI-Pro Forma'!C72</f>
        <v>19701.276360090356</v>
      </c>
      <c r="H30" s="960">
        <f>'Part VI-Pro Forma'!C72-'Part VI-Pro Forma'!D72</f>
        <v>21283.544924519025</v>
      </c>
      <c r="I30" s="960">
        <f>'Part VI-Pro Forma'!D72-'Part VI-Pro Forma'!E72</f>
        <v>22992.89022063883</v>
      </c>
    </row>
    <row r="31" spans="1:17" ht="13.5" customHeight="1">
      <c r="A31" s="513" t="s">
        <v>2707</v>
      </c>
      <c r="C31" s="585">
        <f>'Part VI-Pro Forma'!H41-'Part VI-Pro Forma'!I41</f>
        <v>-7746.1822376031196</v>
      </c>
      <c r="D31" s="585">
        <f>'Part VI-Pro Forma'!I41-'Part VI-Pro Forma'!J41</f>
        <v>-7723.2283499118639</v>
      </c>
      <c r="E31" s="585">
        <f>'Part VI-Pro Forma'!J41-'Part VI-Pro Forma'!K41</f>
        <v>-7719.4440595791675</v>
      </c>
      <c r="F31" s="960">
        <f>'Part VI-Pro Forma'!K41-'Part VI-Pro Forma'!B73</f>
        <v>-7737.5217267919797</v>
      </c>
      <c r="G31" s="960">
        <f>'Part VI-Pro Forma'!B73-'Part VI-Pro Forma'!C73</f>
        <v>-7779.037678359542</v>
      </c>
      <c r="H31" s="960">
        <f>'Part VI-Pro Forma'!C73-'Part VI-Pro Forma'!D73</f>
        <v>-7846.4454999103909</v>
      </c>
      <c r="I31" s="960">
        <f>'Part VI-Pro Forma'!D73-'Part VI-Pro Forma'!E73</f>
        <v>-7942.6042471845867</v>
      </c>
      <c r="K31" s="513" t="s">
        <v>233</v>
      </c>
      <c r="M31" s="513" t="s">
        <v>2726</v>
      </c>
      <c r="O31" s="583">
        <f>O25*O27</f>
        <v>-1014198.0545454547</v>
      </c>
    </row>
    <row r="32" spans="1:17" ht="13.5" customHeight="1">
      <c r="A32" s="513" t="s">
        <v>2707</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3046</v>
      </c>
      <c r="B33" s="587"/>
      <c r="C33" s="963">
        <f>'Part VI-Pro Forma'!I23</f>
        <v>-18448.10798137305</v>
      </c>
      <c r="D33" s="963">
        <f>'Part VI-Pro Forma'!J23</f>
        <v>-19001.551220814239</v>
      </c>
      <c r="E33" s="963">
        <f>'Part VI-Pro Forma'!K23</f>
        <v>-19571.597757438667</v>
      </c>
      <c r="F33" s="963">
        <f>'Part VI-Pro Forma'!B55</f>
        <v>-20158.745690161828</v>
      </c>
      <c r="G33" s="963">
        <f>'Part VI-Pro Forma'!C55</f>
        <v>-20763.508060866683</v>
      </c>
      <c r="H33" s="963">
        <f>'Part VI-Pro Forma'!D55</f>
        <v>-21386.413302692679</v>
      </c>
      <c r="I33" s="963">
        <f>'Part VI-Pro Forma'!E55</f>
        <v>-22028.005701773458</v>
      </c>
      <c r="K33" s="513" t="s">
        <v>233</v>
      </c>
      <c r="M33" s="513" t="s">
        <v>2727</v>
      </c>
      <c r="O33" s="583" t="e">
        <f>O14-O31</f>
        <v>#REF!</v>
      </c>
    </row>
    <row r="34" spans="1:15" ht="13.5" customHeight="1">
      <c r="A34" s="587" t="s">
        <v>3047</v>
      </c>
      <c r="B34" s="587"/>
      <c r="C34" s="963">
        <f>'Part VI-Pro Forma'!I32</f>
        <v>-17989.73</v>
      </c>
      <c r="D34" s="963">
        <f>'Part VI-Pro Forma'!J32</f>
        <v>-17989.73</v>
      </c>
      <c r="E34" s="963">
        <f>'Part VI-Pro Forma'!K32</f>
        <v>-17989.73</v>
      </c>
      <c r="F34" s="963">
        <f>'Part VI-Pro Forma'!B64</f>
        <v>-17989.73</v>
      </c>
      <c r="G34" s="963">
        <f>'Part VI-Pro Forma'!C64</f>
        <v>-17989.73</v>
      </c>
      <c r="H34" s="963">
        <f>'Part VI-Pro Forma'!D64</f>
        <v>-17989.73</v>
      </c>
      <c r="I34" s="963">
        <f>'Part VI-Pro Forma'!E64</f>
        <v>-17989.73</v>
      </c>
    </row>
    <row r="35" spans="1:15" ht="13.5" customHeight="1">
      <c r="A35" s="513" t="s">
        <v>2710</v>
      </c>
      <c r="C35" s="588">
        <f t="shared" ref="C35:I35" si="8">$E$3/$H$3</f>
        <v>676132.03636363638</v>
      </c>
      <c r="D35" s="588">
        <f t="shared" si="8"/>
        <v>676132.03636363638</v>
      </c>
      <c r="E35" s="588">
        <f t="shared" si="8"/>
        <v>676132.03636363638</v>
      </c>
      <c r="F35" s="588">
        <f t="shared" si="8"/>
        <v>676132.03636363638</v>
      </c>
      <c r="G35" s="588">
        <f t="shared" si="8"/>
        <v>676132.03636363638</v>
      </c>
      <c r="H35" s="588">
        <f t="shared" si="8"/>
        <v>676132.03636363638</v>
      </c>
      <c r="I35" s="588">
        <f t="shared" si="8"/>
        <v>676132.03636363638</v>
      </c>
    </row>
    <row r="36" spans="1:15" ht="13.5" customHeight="1">
      <c r="A36" s="513" t="s">
        <v>2712</v>
      </c>
      <c r="C36" s="583">
        <f>IF(C$28&lt;=$H$4,($E$4/$H$4),0)+IF(C$28&lt;=$H$5,($E$5/$H$5),0)</f>
        <v>13845.833333333334</v>
      </c>
      <c r="D36" s="583">
        <f t="shared" ref="D36:I36" si="9">IF(D$28&lt;=$H$4,($E$4/$H$4),0)+IF(D$28&lt;=$H$5,($E$5/$H$5),0)</f>
        <v>13845.833333333334</v>
      </c>
      <c r="E36" s="583">
        <f t="shared" si="9"/>
        <v>13845.833333333334</v>
      </c>
      <c r="F36" s="583">
        <f t="shared" si="9"/>
        <v>13845.833333333334</v>
      </c>
      <c r="G36" s="583">
        <f t="shared" si="9"/>
        <v>13845.833333333334</v>
      </c>
      <c r="H36" s="583">
        <f t="shared" si="9"/>
        <v>13845.833333333334</v>
      </c>
      <c r="I36" s="583">
        <f t="shared" si="9"/>
        <v>13845.833333333334</v>
      </c>
    </row>
    <row r="37" spans="1:15" ht="13.5" customHeight="1">
      <c r="A37" s="513" t="s">
        <v>2713</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2715</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2717</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2718</v>
      </c>
      <c r="C41" s="589">
        <f>C21</f>
        <v>1350000</v>
      </c>
      <c r="D41" s="589">
        <f>C41</f>
        <v>1350000</v>
      </c>
      <c r="E41" s="589">
        <f>D41</f>
        <v>1350000</v>
      </c>
      <c r="F41" s="589">
        <v>0</v>
      </c>
      <c r="G41" s="589">
        <v>0</v>
      </c>
      <c r="H41" s="589">
        <v>0</v>
      </c>
      <c r="I41" s="589">
        <v>0</v>
      </c>
    </row>
    <row r="42" spans="1:15" ht="13.5" customHeight="1">
      <c r="A42" s="513" t="s">
        <v>2719</v>
      </c>
      <c r="C42" s="589">
        <f>C22</f>
        <v>1350000</v>
      </c>
      <c r="D42" s="589">
        <f>C42</f>
        <v>1350000</v>
      </c>
      <c r="E42" s="589">
        <f>D42</f>
        <v>1350000</v>
      </c>
      <c r="F42" s="589">
        <v>0</v>
      </c>
      <c r="G42" s="589">
        <v>0</v>
      </c>
      <c r="H42" s="589">
        <v>0</v>
      </c>
      <c r="I42" s="589">
        <v>0</v>
      </c>
    </row>
    <row r="43" spans="1:15" ht="13.5" customHeight="1">
      <c r="A43" s="513" t="s">
        <v>2721</v>
      </c>
      <c r="C43" s="585">
        <v>0</v>
      </c>
      <c r="D43" s="585">
        <v>0</v>
      </c>
      <c r="E43" s="585">
        <v>0</v>
      </c>
      <c r="F43" s="585">
        <v>0</v>
      </c>
      <c r="G43" s="585">
        <v>0</v>
      </c>
      <c r="H43" s="585">
        <v>0</v>
      </c>
      <c r="I43" s="585">
        <v>0</v>
      </c>
    </row>
    <row r="44" spans="1:15" ht="13.5" customHeight="1">
      <c r="A44" s="513" t="s">
        <v>2722</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2706</v>
      </c>
      <c r="C49" s="583">
        <f>'Part VI-Pro Forma'!F65</f>
        <v>31518.573266789495</v>
      </c>
      <c r="D49" s="583">
        <f>'Part VI-Pro Forma'!G62</f>
        <v>0</v>
      </c>
      <c r="E49" s="583">
        <f>'Part VI-Pro Forma'!H62</f>
        <v>0</v>
      </c>
      <c r="F49" s="583">
        <f>'Part VI-Pro Forma'!I62</f>
        <v>0</v>
      </c>
      <c r="G49" s="583">
        <f>'Part VI-Pro Forma'!J62</f>
        <v>0</v>
      </c>
      <c r="H49" s="583">
        <f>'Part VI-Pro Forma'!K62</f>
        <v>0</v>
      </c>
    </row>
    <row r="50" spans="1:10" ht="13.5" customHeight="1">
      <c r="A50" s="513" t="s">
        <v>2707</v>
      </c>
      <c r="C50" s="961">
        <f>'Part VI-Pro Forma'!E72-'Part VI-Pro Forma'!F72</f>
        <v>24839.518161718268</v>
      </c>
      <c r="D50" s="961">
        <f>'Part VI-Pro Forma'!F72-'Part VI-Pro Forma'!G72</f>
        <v>26834.454328516964</v>
      </c>
      <c r="E50" s="961">
        <f>'Part VI-Pro Forma'!G72-'Part VI-Pro Forma'!H72</f>
        <v>28989.609799236991</v>
      </c>
      <c r="F50" s="961">
        <f>'Part VI-Pro Forma'!H72-'Part VI-Pro Forma'!I72</f>
        <v>31317.85226647649</v>
      </c>
      <c r="G50" s="961">
        <f>'Part VI-Pro Forma'!I72-'Part VI-Pro Forma'!J72</f>
        <v>33833.082865802106</v>
      </c>
      <c r="H50" s="961">
        <f>'Part VI-Pro Forma'!J72-'Part VI-Pro Forma'!K72</f>
        <v>36550.319174649427</v>
      </c>
    </row>
    <row r="51" spans="1:10" ht="13.5" customHeight="1">
      <c r="A51" s="513" t="s">
        <v>2707</v>
      </c>
      <c r="C51" s="961">
        <f>'Part VI-Pro Forma'!E73-'Part VI-Pro Forma'!F73</f>
        <v>-8069.5235895022051</v>
      </c>
      <c r="D51" s="961">
        <f>'Part VI-Pro Forma'!F73-'Part VI-Pro Forma'!G73</f>
        <v>-6320.3536791313672</v>
      </c>
      <c r="E51" s="961">
        <f>'Part VI-Pro Forma'!G73-'Part VI-Pro Forma'!H73</f>
        <v>-6439.8925806462066</v>
      </c>
      <c r="F51" s="961">
        <f>'Part VI-Pro Forma'!H73-'Part VI-Pro Forma'!I73</f>
        <v>-6596.0315270208521</v>
      </c>
      <c r="G51" s="961">
        <f>'Part VI-Pro Forma'!I73-'Part VI-Pro Forma'!J73</f>
        <v>-6791.8391088153003</v>
      </c>
      <c r="H51" s="961">
        <f>'Part VI-Pro Forma'!J73-'Part VI-Pro Forma'!K73</f>
        <v>-7030.8261549071176</v>
      </c>
    </row>
    <row r="52" spans="1:10" ht="13.5" customHeight="1">
      <c r="A52" s="513" t="s">
        <v>2707</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3046</v>
      </c>
      <c r="B53" s="587"/>
      <c r="C53" s="963">
        <f>'Part VI-Pro Forma'!F55</f>
        <v>-22688.845872826667</v>
      </c>
      <c r="D53" s="963">
        <f>'Part VI-Pro Forma'!G55</f>
        <v>-23369.511249011466</v>
      </c>
      <c r="E53" s="963">
        <f>'Part VI-Pro Forma'!H55</f>
        <v>-24070.596586481806</v>
      </c>
      <c r="F53" s="963">
        <f>'Part VI-Pro Forma'!I55</f>
        <v>-24792.714484076259</v>
      </c>
      <c r="G53" s="963">
        <f>'Part VI-Pro Forma'!J55</f>
        <v>-25536.49591859855</v>
      </c>
      <c r="H53" s="963">
        <f>'Part VI-Pro Forma'!K55</f>
        <v>-26302.590796156503</v>
      </c>
    </row>
    <row r="54" spans="1:10" ht="13.5" customHeight="1">
      <c r="A54" s="587" t="s">
        <v>3047</v>
      </c>
      <c r="C54" s="964">
        <f>'Part VI-Pro Forma'!F64</f>
        <v>-17989.73</v>
      </c>
      <c r="D54" s="964">
        <f>'Part VI-Pro Forma'!G64</f>
        <v>0</v>
      </c>
      <c r="E54" s="964">
        <f>'Part VI-Pro Forma'!H64</f>
        <v>0</v>
      </c>
      <c r="F54" s="964">
        <f>'Part VI-Pro Forma'!I64</f>
        <v>0</v>
      </c>
      <c r="G54" s="964">
        <f>'Part VI-Pro Forma'!J64</f>
        <v>0</v>
      </c>
      <c r="H54" s="964">
        <f>'Part VI-Pro Forma'!K64</f>
        <v>0</v>
      </c>
    </row>
    <row r="55" spans="1:10" ht="13.5" customHeight="1">
      <c r="A55" s="513" t="s">
        <v>2710</v>
      </c>
      <c r="C55" s="588">
        <f t="shared" ref="C55:H55" si="14">$E$3/$H$3</f>
        <v>676132.03636363638</v>
      </c>
      <c r="D55" s="588">
        <f t="shared" si="14"/>
        <v>676132.03636363638</v>
      </c>
      <c r="E55" s="588">
        <f t="shared" si="14"/>
        <v>676132.03636363638</v>
      </c>
      <c r="F55" s="588">
        <f t="shared" si="14"/>
        <v>676132.03636363638</v>
      </c>
      <c r="G55" s="588">
        <f t="shared" si="14"/>
        <v>676132.03636363638</v>
      </c>
      <c r="H55" s="588">
        <f t="shared" si="14"/>
        <v>676132.03636363638</v>
      </c>
    </row>
    <row r="56" spans="1:10" ht="13.5" customHeight="1">
      <c r="A56" s="513" t="s">
        <v>2712</v>
      </c>
      <c r="C56" s="583">
        <f t="shared" ref="C56:H56" si="15">IF(C$48&lt;=$H$4,($E$4/$H$4),0)+IF(C$48&lt;=$H$5,($E$5/$H$5),0)</f>
        <v>13845.833333333334</v>
      </c>
      <c r="D56" s="583">
        <f t="shared" si="15"/>
        <v>2112.5</v>
      </c>
      <c r="E56" s="583">
        <f t="shared" si="15"/>
        <v>2112.5</v>
      </c>
      <c r="F56" s="583">
        <f t="shared" si="15"/>
        <v>2112.5</v>
      </c>
      <c r="G56" s="583">
        <f t="shared" si="15"/>
        <v>2112.5</v>
      </c>
      <c r="H56" s="583">
        <f t="shared" si="15"/>
        <v>2112.5</v>
      </c>
    </row>
    <row r="57" spans="1:10" ht="13.5" customHeight="1">
      <c r="A57" s="513" t="s">
        <v>2713</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2715</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2717</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2718</v>
      </c>
      <c r="C61" s="588">
        <v>0</v>
      </c>
      <c r="D61" s="588">
        <v>0</v>
      </c>
      <c r="E61" s="588">
        <v>0</v>
      </c>
      <c r="F61" s="588">
        <v>0</v>
      </c>
      <c r="G61" s="588">
        <v>0</v>
      </c>
      <c r="H61" s="583">
        <v>0</v>
      </c>
    </row>
    <row r="62" spans="1:10">
      <c r="A62" s="513" t="s">
        <v>2719</v>
      </c>
      <c r="C62" s="588">
        <v>0</v>
      </c>
      <c r="D62" s="583">
        <v>0</v>
      </c>
      <c r="E62" s="583">
        <v>0</v>
      </c>
      <c r="F62" s="583">
        <v>0</v>
      </c>
      <c r="G62" s="583">
        <v>0</v>
      </c>
      <c r="H62" s="583">
        <v>0</v>
      </c>
    </row>
    <row r="63" spans="1:10">
      <c r="A63" s="513" t="s">
        <v>2721</v>
      </c>
      <c r="C63" s="583">
        <v>0</v>
      </c>
      <c r="D63" s="583">
        <v>0</v>
      </c>
      <c r="E63" s="583">
        <v>0</v>
      </c>
      <c r="F63" s="583">
        <v>0</v>
      </c>
      <c r="G63" s="583">
        <v>0</v>
      </c>
      <c r="H63" s="583" t="e">
        <f>O33</f>
        <v>#REF!</v>
      </c>
    </row>
    <row r="64" spans="1:10">
      <c r="A64" s="513" t="s">
        <v>2722</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2728</v>
      </c>
      <c r="G66" s="4673" t="e">
        <f>IRR(K5:K25)</f>
        <v>#VALUE!</v>
      </c>
      <c r="H66" s="4674"/>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6" t="str">
        <f>'Sensitivity Analysis'!C8</f>
        <v>Lewis Crossing</v>
      </c>
      <c r="B1" s="4676"/>
      <c r="C1" s="4676"/>
      <c r="D1" s="4676"/>
      <c r="E1" s="4676"/>
      <c r="F1" s="4676"/>
      <c r="G1" s="4676"/>
      <c r="H1" s="4676"/>
      <c r="I1" s="4676"/>
      <c r="J1" s="4676"/>
      <c r="K1" s="4676"/>
    </row>
    <row r="2" spans="1:11" s="438" customFormat="1" ht="17.649999999999999" customHeight="1">
      <c r="A2" s="4675" t="s">
        <v>2878</v>
      </c>
      <c r="B2" s="4675"/>
      <c r="C2" s="4675"/>
      <c r="D2" s="4675"/>
      <c r="E2" s="4675"/>
      <c r="F2" s="4675"/>
      <c r="G2" s="4675"/>
      <c r="H2" s="4675"/>
      <c r="I2" s="4675"/>
      <c r="J2" s="4675"/>
      <c r="K2" s="4675"/>
    </row>
    <row r="3" spans="1:11" ht="9" customHeight="1">
      <c r="A3" s="1390"/>
      <c r="B3" s="1390"/>
      <c r="C3" s="1390"/>
      <c r="D3" s="1390"/>
      <c r="E3" s="1390"/>
      <c r="G3" s="1390"/>
      <c r="H3" s="1390"/>
      <c r="J3" s="1390"/>
      <c r="K3" s="1390"/>
    </row>
    <row r="4" spans="1:11" ht="12.6" customHeight="1">
      <c r="A4" s="4677" t="s">
        <v>3961</v>
      </c>
      <c r="B4" s="4677"/>
      <c r="C4" s="1391"/>
      <c r="D4" s="4677" t="s">
        <v>3962</v>
      </c>
      <c r="E4" s="4677"/>
      <c r="F4" s="520"/>
      <c r="G4" s="4677" t="s">
        <v>3963</v>
      </c>
      <c r="H4" s="4677"/>
      <c r="I4" s="520"/>
      <c r="J4" s="4677" t="s">
        <v>4074</v>
      </c>
      <c r="K4" s="4677"/>
    </row>
    <row r="5" spans="1:11" ht="25.9" customHeight="1">
      <c r="A5" s="4678" t="str">
        <f>'Part II-Sources of Funds'!E40</f>
        <v>Merchants Capital</v>
      </c>
      <c r="B5" s="4679"/>
      <c r="C5" s="438"/>
      <c r="D5" s="4678" t="str">
        <f>'Part II-Sources of Funds'!E41</f>
        <v>United Bank CDFI</v>
      </c>
      <c r="E5" s="4679"/>
      <c r="F5" s="1392"/>
      <c r="G5" s="4678">
        <f>'Part II-Sources of Funds'!E42</f>
        <v>0</v>
      </c>
      <c r="H5" s="4679"/>
      <c r="I5" s="1392"/>
      <c r="J5" s="4678">
        <f>'Part II-Sources of Funds'!E43</f>
        <v>0</v>
      </c>
      <c r="K5" s="4679"/>
    </row>
    <row r="6" spans="1:11" ht="9" customHeight="1"/>
    <row r="7" spans="1:11" ht="15.75">
      <c r="A7" s="966"/>
      <c r="B7" s="966" t="s">
        <v>2729</v>
      </c>
      <c r="D7" s="966"/>
      <c r="E7" s="966" t="s">
        <v>2729</v>
      </c>
      <c r="G7" s="966"/>
      <c r="H7" s="966" t="s">
        <v>2729</v>
      </c>
      <c r="J7" s="966"/>
      <c r="K7" s="966" t="s">
        <v>2729</v>
      </c>
    </row>
    <row r="8" spans="1:11" ht="15.75">
      <c r="A8" s="989" t="s">
        <v>2278</v>
      </c>
      <c r="B8" s="989" t="s">
        <v>2730</v>
      </c>
      <c r="D8" s="989" t="s">
        <v>2278</v>
      </c>
      <c r="E8" s="989" t="s">
        <v>2730</v>
      </c>
      <c r="G8" s="989" t="s">
        <v>2278</v>
      </c>
      <c r="H8" s="989" t="s">
        <v>2730</v>
      </c>
      <c r="J8" s="989" t="s">
        <v>2278</v>
      </c>
      <c r="K8" s="989" t="s">
        <v>2730</v>
      </c>
    </row>
    <row r="9" spans="1:11" ht="6" customHeight="1">
      <c r="A9" s="504"/>
      <c r="B9" s="504"/>
      <c r="D9" s="504"/>
      <c r="E9" s="504"/>
      <c r="G9" s="504"/>
      <c r="H9" s="504"/>
      <c r="J9" s="504"/>
      <c r="K9" s="504"/>
    </row>
    <row r="10" spans="1:11" ht="20.25" customHeight="1">
      <c r="A10" s="967">
        <v>1</v>
      </c>
      <c r="B10" s="968">
        <f>-'Part VI-Pro Forma'!$B26/12</f>
        <v>14885.636908740926</v>
      </c>
      <c r="D10" s="967">
        <v>1</v>
      </c>
      <c r="E10" s="968">
        <f>-'Part VI-Pro Forma'!$B27/12</f>
        <v>986.8241061481009</v>
      </c>
      <c r="G10" s="967">
        <v>1</v>
      </c>
      <c r="H10" s="968">
        <f>-'Part VI-Pro Forma'!$B28/12</f>
        <v>0</v>
      </c>
      <c r="J10" s="967">
        <v>1</v>
      </c>
      <c r="K10" s="968">
        <f>-'Part VI-Pro Forma'!$B29/12</f>
        <v>0</v>
      </c>
    </row>
    <row r="11" spans="1:11" ht="20.25" customHeight="1">
      <c r="A11" s="967">
        <v>2</v>
      </c>
      <c r="B11" s="968">
        <f>-'Part VI-Pro Forma'!$C26/12</f>
        <v>14885.636908740926</v>
      </c>
      <c r="D11" s="967">
        <v>2</v>
      </c>
      <c r="E11" s="968">
        <f>-'Part VI-Pro Forma'!$C27/12</f>
        <v>1023.7491894814351</v>
      </c>
      <c r="G11" s="967">
        <v>2</v>
      </c>
      <c r="H11" s="968">
        <f>-'Part VI-Pro Forma'!$C28/12</f>
        <v>0</v>
      </c>
      <c r="J11" s="967">
        <v>2</v>
      </c>
      <c r="K11" s="968">
        <f>-'Part VI-Pro Forma'!$C29/12</f>
        <v>0</v>
      </c>
    </row>
    <row r="12" spans="1:11" ht="20.25" customHeight="1">
      <c r="A12" s="967">
        <v>3</v>
      </c>
      <c r="B12" s="968">
        <f>-'Part VI-Pro Forma'!$D26/12</f>
        <v>14885.636908740926</v>
      </c>
      <c r="D12" s="967">
        <v>3</v>
      </c>
      <c r="E12" s="968">
        <f>-'Part VI-Pro Forma'!$D27/12</f>
        <v>1059.6093494814365</v>
      </c>
      <c r="G12" s="967">
        <v>3</v>
      </c>
      <c r="H12" s="968">
        <f>-'Part VI-Pro Forma'!$D28/12</f>
        <v>0</v>
      </c>
      <c r="J12" s="967">
        <v>3</v>
      </c>
      <c r="K12" s="968">
        <f>-'Part VI-Pro Forma'!$D29/12</f>
        <v>0</v>
      </c>
    </row>
    <row r="13" spans="1:11" ht="20.25" customHeight="1">
      <c r="A13" s="967">
        <v>4</v>
      </c>
      <c r="B13" s="968">
        <f>-'Part VI-Pro Forma'!$E26/12</f>
        <v>14885.636908740926</v>
      </c>
      <c r="D13" s="967">
        <v>4</v>
      </c>
      <c r="E13" s="968">
        <f>-'Part VI-Pro Forma'!$E27/12</f>
        <v>1094.3135432647694</v>
      </c>
      <c r="G13" s="967">
        <v>4</v>
      </c>
      <c r="H13" s="968">
        <f>-'Part VI-Pro Forma'!$E28/12</f>
        <v>0</v>
      </c>
      <c r="J13" s="967">
        <v>4</v>
      </c>
      <c r="K13" s="968">
        <f>-'Part VI-Pro Forma'!$E29/12</f>
        <v>0</v>
      </c>
    </row>
    <row r="14" spans="1:11" ht="20.25" customHeight="1">
      <c r="A14" s="1393">
        <v>5</v>
      </c>
      <c r="B14" s="1394">
        <f>-'Part VI-Pro Forma'!$F26/12</f>
        <v>14885.636908740926</v>
      </c>
      <c r="D14" s="1393">
        <v>5</v>
      </c>
      <c r="E14" s="1394">
        <f>-'Part VI-Pro Forma'!$F27/12</f>
        <v>1127.788527257934</v>
      </c>
      <c r="G14" s="1393">
        <v>5</v>
      </c>
      <c r="H14" s="1394">
        <f>-'Part VI-Pro Forma'!$F28/12</f>
        <v>0</v>
      </c>
      <c r="J14" s="1393">
        <v>5</v>
      </c>
      <c r="K14" s="1394">
        <f>-'Part VI-Pro Forma'!$F29/12</f>
        <v>0</v>
      </c>
    </row>
    <row r="15" spans="1:11" ht="20.25" customHeight="1">
      <c r="A15" s="967">
        <v>6</v>
      </c>
      <c r="B15" s="968">
        <f>-'Part VI-Pro Forma'!$G26/12</f>
        <v>14885.636908740926</v>
      </c>
      <c r="D15" s="967">
        <v>6</v>
      </c>
      <c r="E15" s="968">
        <f>-'Part VI-Pro Forma'!$G27/12</f>
        <v>1159.9579142884911</v>
      </c>
      <c r="G15" s="967">
        <v>6</v>
      </c>
      <c r="H15" s="968">
        <f>-'Part VI-Pro Forma'!$G28/12</f>
        <v>0</v>
      </c>
      <c r="J15" s="967">
        <v>6</v>
      </c>
      <c r="K15" s="968">
        <f>-'Part VI-Pro Forma'!$G29/12</f>
        <v>0</v>
      </c>
    </row>
    <row r="16" spans="1:11" ht="20.25" customHeight="1">
      <c r="A16" s="967">
        <v>7</v>
      </c>
      <c r="B16" s="968">
        <f>-'Part VI-Pro Forma'!$H26/12</f>
        <v>14885.636908740926</v>
      </c>
      <c r="D16" s="967">
        <v>7</v>
      </c>
      <c r="E16" s="968">
        <f>-'Part VI-Pro Forma'!$H27/12</f>
        <v>1190.7420603512437</v>
      </c>
      <c r="G16" s="967">
        <v>7</v>
      </c>
      <c r="H16" s="968">
        <f>-'Part VI-Pro Forma'!$H28/12</f>
        <v>0</v>
      </c>
      <c r="J16" s="967">
        <v>7</v>
      </c>
      <c r="K16" s="968">
        <f>-'Part VI-Pro Forma'!$H29/12</f>
        <v>0</v>
      </c>
    </row>
    <row r="17" spans="1:11" ht="20.25" customHeight="1">
      <c r="A17" s="967">
        <v>8</v>
      </c>
      <c r="B17" s="968">
        <f>-'Part VI-Pro Forma'!$I26/12</f>
        <v>14885.636908740926</v>
      </c>
      <c r="D17" s="967">
        <v>8</v>
      </c>
      <c r="E17" s="968">
        <f>-'Part VI-Pro Forma'!$I27/12</f>
        <v>1220.0371142655767</v>
      </c>
      <c r="G17" s="967">
        <v>8</v>
      </c>
      <c r="H17" s="968">
        <f>-'Part VI-Pro Forma'!$I28/12</f>
        <v>0</v>
      </c>
      <c r="J17" s="967">
        <v>8</v>
      </c>
      <c r="K17" s="968">
        <f>-'Part VI-Pro Forma'!$I29/12</f>
        <v>0</v>
      </c>
    </row>
    <row r="18" spans="1:11" ht="20.25" customHeight="1">
      <c r="A18" s="967">
        <v>9</v>
      </c>
      <c r="B18" s="968">
        <f>-'Part VI-Pro Forma'!$J26/12</f>
        <v>14885.636908740926</v>
      </c>
      <c r="D18" s="967">
        <v>9</v>
      </c>
      <c r="E18" s="968">
        <f>-'Part VI-Pro Forma'!$J27/12</f>
        <v>1247.7357301031091</v>
      </c>
      <c r="G18" s="967">
        <v>9</v>
      </c>
      <c r="H18" s="968">
        <f>-'Part VI-Pro Forma'!$J28/12</f>
        <v>0</v>
      </c>
      <c r="J18" s="967">
        <v>9</v>
      </c>
      <c r="K18" s="968">
        <f>-'Part VI-Pro Forma'!$J29/12</f>
        <v>0</v>
      </c>
    </row>
    <row r="19" spans="1:11" ht="20.25" customHeight="1">
      <c r="A19" s="1393">
        <v>10</v>
      </c>
      <c r="B19" s="1394">
        <f>-'Part VI-Pro Forma'!$K26/12</f>
        <v>14885.636908740926</v>
      </c>
      <c r="D19" s="1393">
        <v>10</v>
      </c>
      <c r="E19" s="1394">
        <f>-'Part VI-Pro Forma'!$K27/12</f>
        <v>1273.7894422609777</v>
      </c>
      <c r="G19" s="1393">
        <v>10</v>
      </c>
      <c r="H19" s="1394">
        <f>-'Part VI-Pro Forma'!$K28/12</f>
        <v>0</v>
      </c>
      <c r="J19" s="1393">
        <v>10</v>
      </c>
      <c r="K19" s="1394">
        <f>-'Part VI-Pro Forma'!$K29/12</f>
        <v>0</v>
      </c>
    </row>
    <row r="20" spans="1:11" ht="20.25" customHeight="1">
      <c r="A20" s="967">
        <v>11</v>
      </c>
      <c r="B20" s="968">
        <f>-'Part VI-Pro Forma'!$B58/12</f>
        <v>14885.636908740926</v>
      </c>
      <c r="D20" s="967">
        <v>11</v>
      </c>
      <c r="E20" s="968">
        <f>-'Part VI-Pro Forma'!$B59/12</f>
        <v>1298.041869719041</v>
      </c>
      <c r="G20" s="967">
        <v>11</v>
      </c>
      <c r="H20" s="968">
        <f>-'Part VI-Pro Forma'!$B60/12</f>
        <v>0</v>
      </c>
      <c r="J20" s="967">
        <v>11</v>
      </c>
      <c r="K20" s="968">
        <f>-'Part VI-Pro Forma'!$B61/12</f>
        <v>0</v>
      </c>
    </row>
    <row r="21" spans="1:11" ht="20.25" customHeight="1">
      <c r="A21" s="967">
        <v>12</v>
      </c>
      <c r="B21" s="968">
        <f>-'Part VI-Pro Forma'!$C58/12</f>
        <v>14885.636908740926</v>
      </c>
      <c r="D21" s="967">
        <v>12</v>
      </c>
      <c r="E21" s="968">
        <f>-'Part VI-Pro Forma'!$C59/12</f>
        <v>1320.436916014997</v>
      </c>
      <c r="G21" s="967">
        <v>12</v>
      </c>
      <c r="H21" s="968">
        <f>-'Part VI-Pro Forma'!$C60/12</f>
        <v>0</v>
      </c>
      <c r="J21" s="967">
        <v>12</v>
      </c>
      <c r="K21" s="968">
        <f>-'Part VI-Pro Forma'!$C61/12</f>
        <v>0</v>
      </c>
    </row>
    <row r="22" spans="1:11" ht="20.25" customHeight="1">
      <c r="A22" s="967">
        <v>13</v>
      </c>
      <c r="B22" s="968">
        <f>-'Part VI-Pro Forma'!$D58/12</f>
        <v>14885.636908740926</v>
      </c>
      <c r="D22" s="967">
        <v>13</v>
      </c>
      <c r="E22" s="968">
        <f>-'Part VI-Pro Forma'!$D59/12</f>
        <v>1340.8519648009478</v>
      </c>
      <c r="G22" s="967">
        <v>13</v>
      </c>
      <c r="H22" s="968">
        <f>-'Part VI-Pro Forma'!$D60/12</f>
        <v>0</v>
      </c>
      <c r="J22" s="967">
        <v>13</v>
      </c>
      <c r="K22" s="968">
        <f>-'Part VI-Pro Forma'!$D61/12</f>
        <v>0</v>
      </c>
    </row>
    <row r="23" spans="1:11" ht="20.25" customHeight="1">
      <c r="A23" s="967">
        <v>14</v>
      </c>
      <c r="B23" s="968">
        <f>-'Part VI-Pro Forma'!$E58/12</f>
        <v>14885.636908740926</v>
      </c>
      <c r="D23" s="967">
        <v>14</v>
      </c>
      <c r="E23" s="968">
        <f>-'Part VI-Pro Forma'!$E59/12</f>
        <v>1359.1394041736069</v>
      </c>
      <c r="G23" s="967">
        <v>14</v>
      </c>
      <c r="H23" s="968">
        <f>-'Part VI-Pro Forma'!$E60/12</f>
        <v>0</v>
      </c>
      <c r="J23" s="967">
        <v>14</v>
      </c>
      <c r="K23" s="968">
        <f>-'Part VI-Pro Forma'!$E61/12</f>
        <v>0</v>
      </c>
    </row>
    <row r="24" spans="1:11" ht="20.25" customHeight="1">
      <c r="A24" s="1393">
        <v>15</v>
      </c>
      <c r="B24" s="1394">
        <f>-'Part VI-Pro Forma'!$F58/12</f>
        <v>14885.636908740926</v>
      </c>
      <c r="D24" s="1393">
        <v>15</v>
      </c>
      <c r="E24" s="1394">
        <f>-'Part VI-Pro Forma'!$F59/12</f>
        <v>1375.2306462997083</v>
      </c>
      <c r="G24" s="1393">
        <v>15</v>
      </c>
      <c r="H24" s="1394">
        <f>-'Part VI-Pro Forma'!$F60/12</f>
        <v>0</v>
      </c>
      <c r="J24" s="1393">
        <v>15</v>
      </c>
      <c r="K24" s="1394">
        <f>-'Part VI-Pro Forma'!$F61/12</f>
        <v>0</v>
      </c>
    </row>
    <row r="25" spans="1:11" ht="20.25" customHeight="1">
      <c r="A25" s="967">
        <v>16</v>
      </c>
      <c r="B25" s="968">
        <f>-'Part VI-Pro Forma'!$G58/12</f>
        <v>14885.636908740926</v>
      </c>
      <c r="D25" s="967">
        <v>16</v>
      </c>
      <c r="E25" s="968">
        <f>-'Part VI-Pro Forma'!$G59/12</f>
        <v>1545.2401421866277</v>
      </c>
      <c r="G25" s="967">
        <v>16</v>
      </c>
      <c r="H25" s="968">
        <f>-'Part VI-Pro Forma'!$G60/12</f>
        <v>0</v>
      </c>
      <c r="J25" s="967">
        <v>16</v>
      </c>
      <c r="K25" s="968">
        <f>-'Part VI-Pro Forma'!$G61/12</f>
        <v>0</v>
      </c>
    </row>
    <row r="26" spans="1:11" ht="20.25" customHeight="1">
      <c r="A26" s="967">
        <v>17</v>
      </c>
      <c r="B26" s="968">
        <f>-'Part VI-Pro Forma'!$H58/12</f>
        <v>14885.636908740926</v>
      </c>
      <c r="D26" s="967">
        <v>17</v>
      </c>
      <c r="E26" s="968">
        <f>-'Part VI-Pro Forma'!$H59/12</f>
        <v>1556.5277247771476</v>
      </c>
      <c r="G26" s="967">
        <v>17</v>
      </c>
      <c r="H26" s="968">
        <f>-'Part VI-Pro Forma'!$H60/12</f>
        <v>0</v>
      </c>
      <c r="J26" s="967">
        <v>17</v>
      </c>
      <c r="K26" s="968">
        <f>-'Part VI-Pro Forma'!$H61/12</f>
        <v>0</v>
      </c>
    </row>
    <row r="27" spans="1:11" ht="20.25" customHeight="1">
      <c r="A27" s="967">
        <v>18</v>
      </c>
      <c r="B27" s="968">
        <f>-'Part VI-Pro Forma'!$I58/12</f>
        <v>14885.636908740926</v>
      </c>
      <c r="D27" s="967">
        <v>18</v>
      </c>
      <c r="E27" s="968">
        <f>-'Part VI-Pro Forma'!$I59/12</f>
        <v>1565.219280208895</v>
      </c>
      <c r="G27" s="967">
        <v>18</v>
      </c>
      <c r="H27" s="968">
        <f>-'Part VI-Pro Forma'!$I60/12</f>
        <v>0</v>
      </c>
      <c r="J27" s="967">
        <v>18</v>
      </c>
      <c r="K27" s="968">
        <f>-'Part VI-Pro Forma'!$I61/12</f>
        <v>0</v>
      </c>
    </row>
    <row r="28" spans="1:11" ht="20.25" customHeight="1">
      <c r="A28" s="967">
        <v>19</v>
      </c>
      <c r="B28" s="968">
        <f>-'Part VI-Pro Forma'!$J58/12</f>
        <v>14885.636908740926</v>
      </c>
      <c r="D28" s="967">
        <v>19</v>
      </c>
      <c r="E28" s="968">
        <f>-'Part VI-Pro Forma'!$J59/12</f>
        <v>1571.1857470743842</v>
      </c>
      <c r="G28" s="967">
        <v>19</v>
      </c>
      <c r="H28" s="968">
        <f>-'Part VI-Pro Forma'!$J60/12</f>
        <v>0</v>
      </c>
      <c r="J28" s="967">
        <v>19</v>
      </c>
      <c r="K28" s="968">
        <f>-'Part VI-Pro Forma'!$J61/12</f>
        <v>0</v>
      </c>
    </row>
    <row r="29" spans="1:11" ht="20.25" customHeight="1">
      <c r="A29" s="1393">
        <v>20</v>
      </c>
      <c r="B29" s="1394">
        <f>-'Part VI-Pro Forma'!$K58/12</f>
        <v>14885.636908740926</v>
      </c>
      <c r="D29" s="1393">
        <v>20</v>
      </c>
      <c r="E29" s="1394">
        <f>-'Part VI-Pro Forma'!$K59/12</f>
        <v>1574.2721101787149</v>
      </c>
      <c r="G29" s="1393">
        <v>20</v>
      </c>
      <c r="H29" s="1394">
        <f>-'Part VI-Pro Forma'!$K60/12</f>
        <v>0</v>
      </c>
      <c r="J29" s="1393">
        <v>20</v>
      </c>
      <c r="K29" s="1394">
        <f>-'Part VI-Pro Forma'!$K61/12</f>
        <v>0</v>
      </c>
    </row>
    <row r="30" spans="1:11" ht="20.25" customHeight="1">
      <c r="A30" s="967">
        <v>21</v>
      </c>
      <c r="B30" s="968">
        <f>-'Part VI-Pro Forma'!$B90/12</f>
        <v>14885.636908740926</v>
      </c>
      <c r="D30" s="967">
        <v>21</v>
      </c>
      <c r="E30" s="968">
        <f>-'Part VI-Pro Forma'!$B91/12</f>
        <v>1574.3388886203738</v>
      </c>
      <c r="G30" s="967">
        <v>21</v>
      </c>
      <c r="H30" s="968">
        <f>-'Part VI-Pro Forma'!$B92/12</f>
        <v>0</v>
      </c>
      <c r="J30" s="967">
        <v>21</v>
      </c>
      <c r="K30" s="968">
        <f>-'Part VI-Pro Forma'!$B93/12</f>
        <v>0</v>
      </c>
    </row>
    <row r="31" spans="1:11" ht="20.25" customHeight="1">
      <c r="A31" s="967">
        <v>22</v>
      </c>
      <c r="B31" s="968">
        <f>-'Part VI-Pro Forma'!$C90/12</f>
        <v>14885.636908740926</v>
      </c>
      <c r="D31" s="967">
        <v>22</v>
      </c>
      <c r="E31" s="968">
        <f>-'Part VI-Pro Forma'!$C91/12</f>
        <v>1571.2202846816938</v>
      </c>
      <c r="G31" s="967">
        <v>22</v>
      </c>
      <c r="H31" s="968">
        <f>-'Part VI-Pro Forma'!$C92/12</f>
        <v>0</v>
      </c>
      <c r="J31" s="967">
        <v>22</v>
      </c>
      <c r="K31" s="968">
        <f>-'Part VI-Pro Forma'!$C93/12</f>
        <v>0</v>
      </c>
    </row>
    <row r="32" spans="1:11" ht="20.25" customHeight="1">
      <c r="A32" s="967">
        <v>23</v>
      </c>
      <c r="B32" s="968">
        <f>-'Part VI-Pro Forma'!$D90/12</f>
        <v>14885.636908740926</v>
      </c>
      <c r="D32" s="967">
        <v>23</v>
      </c>
      <c r="E32" s="968">
        <f>-'Part VI-Pro Forma'!$D91/12</f>
        <v>1564.7864933432684</v>
      </c>
      <c r="G32" s="967">
        <v>23</v>
      </c>
      <c r="H32" s="968">
        <f>-'Part VI-Pro Forma'!$D92/12</f>
        <v>0</v>
      </c>
      <c r="J32" s="967">
        <v>23</v>
      </c>
      <c r="K32" s="968">
        <f>-'Part VI-Pro Forma'!$D93/12</f>
        <v>0</v>
      </c>
    </row>
    <row r="33" spans="1:11" ht="20.25" customHeight="1">
      <c r="A33" s="967">
        <v>24</v>
      </c>
      <c r="B33" s="968">
        <f>-'Part VI-Pro Forma'!$E90/12</f>
        <v>14885.636908740926</v>
      </c>
      <c r="D33" s="967">
        <v>24</v>
      </c>
      <c r="E33" s="968">
        <f>-'Part VI-Pro Forma'!$E91/12</f>
        <v>1554.8393388974594</v>
      </c>
      <c r="G33" s="967">
        <v>24</v>
      </c>
      <c r="H33" s="968">
        <f>-'Part VI-Pro Forma'!$E92/12</f>
        <v>0</v>
      </c>
      <c r="J33" s="967">
        <v>24</v>
      </c>
      <c r="K33" s="968">
        <f>-'Part VI-Pro Forma'!$E93/12</f>
        <v>0</v>
      </c>
    </row>
    <row r="34" spans="1:11" ht="20.25" customHeight="1">
      <c r="A34" s="1393">
        <v>25</v>
      </c>
      <c r="B34" s="1394">
        <f>-'Part VI-Pro Forma'!$F90/12</f>
        <v>14885.636908740926</v>
      </c>
      <c r="D34" s="1393">
        <v>25</v>
      </c>
      <c r="E34" s="1394">
        <f>-'Part VI-Pro Forma'!$F91/12</f>
        <v>1541.2370717970516</v>
      </c>
      <c r="G34" s="1393">
        <v>25</v>
      </c>
      <c r="H34" s="1394">
        <f>-'Part VI-Pro Forma'!$F92/12</f>
        <v>0</v>
      </c>
      <c r="J34" s="1393">
        <v>25</v>
      </c>
      <c r="K34" s="1394">
        <f>-'Part VI-Pro Forma'!$F93/12</f>
        <v>0</v>
      </c>
    </row>
    <row r="35" spans="1:11" ht="20.25" customHeight="1">
      <c r="A35" s="967">
        <v>26</v>
      </c>
      <c r="B35" s="968">
        <f>-'Part VI-Pro Forma'!$G90/12</f>
        <v>14885.636908740926</v>
      </c>
      <c r="D35" s="967">
        <v>26</v>
      </c>
      <c r="E35" s="968">
        <f>-'Part VI-Pro Forma'!$G91/12</f>
        <v>1523.7691588686394</v>
      </c>
      <c r="G35" s="967">
        <v>26</v>
      </c>
      <c r="H35" s="968">
        <f>-'Part VI-Pro Forma'!$G92/12</f>
        <v>0</v>
      </c>
      <c r="J35" s="967">
        <v>26</v>
      </c>
      <c r="K35" s="968">
        <f>-'Part VI-Pro Forma'!$G93/12</f>
        <v>0</v>
      </c>
    </row>
    <row r="36" spans="1:11" ht="20.25" customHeight="1">
      <c r="A36" s="967">
        <v>27</v>
      </c>
      <c r="B36" s="968">
        <f>-'Part VI-Pro Forma'!$H90/12</f>
        <v>14885.636908740926</v>
      </c>
      <c r="D36" s="967">
        <v>27</v>
      </c>
      <c r="E36" s="968">
        <f>-'Part VI-Pro Forma'!$H91/12</f>
        <v>1502.281066681079</v>
      </c>
      <c r="G36" s="967">
        <v>27</v>
      </c>
      <c r="H36" s="968">
        <f>-'Part VI-Pro Forma'!$H92/12</f>
        <v>0</v>
      </c>
      <c r="J36" s="967">
        <v>27</v>
      </c>
      <c r="K36" s="968">
        <f>-'Part VI-Pro Forma'!$H93/12</f>
        <v>0</v>
      </c>
    </row>
    <row r="37" spans="1:11" ht="20.25" customHeight="1">
      <c r="A37" s="967">
        <v>28</v>
      </c>
      <c r="B37" s="968">
        <f>-'Part VI-Pro Forma'!$I90/12</f>
        <v>14885.636908740926</v>
      </c>
      <c r="D37" s="967">
        <v>28</v>
      </c>
      <c r="E37" s="968">
        <f>-'Part VI-Pro Forma'!$I91/12</f>
        <v>1476.5698711858422</v>
      </c>
      <c r="G37" s="967">
        <v>28</v>
      </c>
      <c r="H37" s="968">
        <f>-'Part VI-Pro Forma'!$I92/12</f>
        <v>0</v>
      </c>
      <c r="J37" s="967">
        <v>28</v>
      </c>
      <c r="K37" s="968">
        <f>-'Part VI-Pro Forma'!$I93/12</f>
        <v>0</v>
      </c>
    </row>
    <row r="38" spans="1:11" ht="20.25" customHeight="1">
      <c r="A38" s="967">
        <v>29</v>
      </c>
      <c r="B38" s="968">
        <f>-'Part VI-Pro Forma'!$J90/12</f>
        <v>14885.636908740926</v>
      </c>
      <c r="D38" s="967">
        <v>29</v>
      </c>
      <c r="E38" s="968">
        <f>-'Part VI-Pro Forma'!$J91/12</f>
        <v>1446.4465267395324</v>
      </c>
      <c r="G38" s="967">
        <v>29</v>
      </c>
      <c r="H38" s="968">
        <f>-'Part VI-Pro Forma'!$J92/12</f>
        <v>0</v>
      </c>
      <c r="J38" s="967">
        <v>29</v>
      </c>
      <c r="K38" s="968">
        <f>-'Part VI-Pro Forma'!$J93/12</f>
        <v>0</v>
      </c>
    </row>
    <row r="39" spans="1:11" ht="20.25" customHeight="1">
      <c r="A39" s="1393">
        <v>30</v>
      </c>
      <c r="B39" s="1394">
        <f>-'Part VI-Pro Forma'!$K90/12</f>
        <v>14885.636908740926</v>
      </c>
      <c r="D39" s="1393">
        <v>30</v>
      </c>
      <c r="E39" s="1394">
        <f>-'Part VI-Pro Forma'!$K91/12</f>
        <v>1411.6939609452056</v>
      </c>
      <c r="G39" s="1393">
        <v>30</v>
      </c>
      <c r="H39" s="1394">
        <f>-'Part VI-Pro Forma'!$K92/12</f>
        <v>0</v>
      </c>
      <c r="J39" s="1393">
        <v>30</v>
      </c>
      <c r="K39" s="1394">
        <f>-'Part VI-Pro Forma'!$K93/12</f>
        <v>0</v>
      </c>
    </row>
    <row r="40" spans="1:11" ht="20.25" customHeight="1">
      <c r="A40" s="967">
        <v>31</v>
      </c>
      <c r="B40" s="968">
        <f>-'Part VI-Pro Forma'!$B120/12</f>
        <v>14885.636908740926</v>
      </c>
      <c r="D40" s="967">
        <v>31</v>
      </c>
      <c r="E40" s="968">
        <f>-'Part VI-Pro Forma'!$B121/12</f>
        <v>1372.1084950754878</v>
      </c>
      <c r="G40" s="967">
        <v>31</v>
      </c>
      <c r="H40" s="968">
        <f>-'Part VI-Pro Forma'!$B122/12</f>
        <v>0</v>
      </c>
      <c r="J40" s="967">
        <v>31</v>
      </c>
      <c r="K40" s="968">
        <f>-'Part VI-Pro Forma'!$B123/12</f>
        <v>0</v>
      </c>
    </row>
    <row r="41" spans="1:11" ht="20.25" customHeight="1">
      <c r="A41" s="967">
        <v>32</v>
      </c>
      <c r="B41" s="968">
        <f>-'Part VI-Pro Forma'!$C120/12</f>
        <v>14885.636908740926</v>
      </c>
      <c r="D41" s="967">
        <v>32</v>
      </c>
      <c r="E41" s="968">
        <f>-'Part VI-Pro Forma'!$C121/12</f>
        <v>1327.4579231660525</v>
      </c>
      <c r="G41" s="967">
        <v>32</v>
      </c>
      <c r="H41" s="968">
        <f>-'Part VI-Pro Forma'!$C122/12</f>
        <v>0</v>
      </c>
      <c r="J41" s="967">
        <v>32</v>
      </c>
      <c r="K41" s="968">
        <f>-'Part VI-Pro Forma'!$C123/12</f>
        <v>0</v>
      </c>
    </row>
    <row r="42" spans="1:11" ht="20.25" customHeight="1">
      <c r="A42" s="967">
        <v>33</v>
      </c>
      <c r="B42" s="968">
        <f>-'Part VI-Pro Forma'!$D120/12</f>
        <v>14885.636908740926</v>
      </c>
      <c r="D42" s="967">
        <v>33</v>
      </c>
      <c r="E42" s="968">
        <f>-'Part VI-Pro Forma'!$D121/12</f>
        <v>1277.5229161944796</v>
      </c>
      <c r="G42" s="967">
        <v>33</v>
      </c>
      <c r="H42" s="968">
        <f>-'Part VI-Pro Forma'!$D122/12</f>
        <v>0</v>
      </c>
      <c r="J42" s="967">
        <v>33</v>
      </c>
      <c r="K42" s="968">
        <f>-'Part VI-Pro Forma'!$D123/12</f>
        <v>0</v>
      </c>
    </row>
    <row r="43" spans="1:11" ht="20.25" customHeight="1">
      <c r="A43" s="967">
        <v>34</v>
      </c>
      <c r="B43" s="968">
        <f>-'Part VI-Pro Forma'!$E120/12</f>
        <v>14885.636908740926</v>
      </c>
      <c r="D43" s="967">
        <v>34</v>
      </c>
      <c r="E43" s="968">
        <f>-'Part VI-Pro Forma'!$E121/12</f>
        <v>1222.055084417437</v>
      </c>
      <c r="G43" s="967">
        <v>34</v>
      </c>
      <c r="H43" s="968">
        <f>-'Part VI-Pro Forma'!$E122/12</f>
        <v>0</v>
      </c>
      <c r="J43" s="967">
        <v>34</v>
      </c>
      <c r="K43" s="968">
        <f>-'Part VI-Pro Forma'!$E123/12</f>
        <v>0</v>
      </c>
    </row>
    <row r="44" spans="1:11" ht="20.25" customHeight="1">
      <c r="A44" s="967">
        <v>35</v>
      </c>
      <c r="B44" s="968">
        <f>-'Part VI-Pro Forma'!$F120/12</f>
        <v>14885.636908740926</v>
      </c>
      <c r="D44" s="967">
        <v>35</v>
      </c>
      <c r="E44" s="968">
        <f>-'Part VI-Pro Forma'!$F121/12</f>
        <v>1160.8183642655156</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0" t="str">
        <f>CONCATENATE('Sensitivity Analysis'!E8,"  ",'Sensitivity Analysis'!C8)</f>
        <v>2024-0  Lewis Crossing</v>
      </c>
      <c r="B1" s="4680"/>
      <c r="C1" s="4680"/>
      <c r="D1" s="4680"/>
      <c r="E1" s="4680"/>
      <c r="F1" s="4680"/>
      <c r="G1" s="4680"/>
      <c r="H1" s="4680"/>
    </row>
    <row r="3" spans="1:11" ht="12" customHeight="1">
      <c r="A3" s="4681" t="s">
        <v>3021</v>
      </c>
      <c r="B3" s="4681"/>
      <c r="C3" s="4681"/>
      <c r="D3" s="4681"/>
      <c r="E3" s="4681"/>
      <c r="F3" s="4681"/>
      <c r="G3" s="4681"/>
      <c r="H3" s="4681"/>
      <c r="I3" s="1006"/>
      <c r="J3" s="4683" t="s">
        <v>3370</v>
      </c>
      <c r="K3" s="4683"/>
    </row>
    <row r="4" spans="1:11">
      <c r="J4" s="4683"/>
      <c r="K4" s="4683"/>
    </row>
    <row r="5" spans="1:11" ht="12" customHeight="1">
      <c r="A5" s="431">
        <v>1</v>
      </c>
      <c r="C5" s="431" t="s">
        <v>2731</v>
      </c>
      <c r="E5" s="608">
        <f>'Sensitivity Analysis'!H9</f>
        <v>0</v>
      </c>
      <c r="J5" s="4683"/>
      <c r="K5" s="4683"/>
    </row>
    <row r="6" spans="1:11" ht="3" customHeight="1">
      <c r="H6" s="599"/>
      <c r="J6" s="4683"/>
      <c r="K6" s="4683"/>
    </row>
    <row r="7" spans="1:11" ht="12" customHeight="1">
      <c r="A7" s="431">
        <v>2</v>
      </c>
      <c r="C7" s="431" t="s">
        <v>2732</v>
      </c>
      <c r="E7" s="4684"/>
      <c r="F7" s="4684"/>
      <c r="G7" s="4684"/>
      <c r="H7" s="4684"/>
      <c r="J7" s="4683"/>
      <c r="K7" s="4683"/>
    </row>
    <row r="8" spans="1:11" ht="12" customHeight="1">
      <c r="E8" s="4684"/>
      <c r="F8" s="4684"/>
      <c r="G8" s="4684"/>
      <c r="H8" s="4684"/>
      <c r="J8" s="4683"/>
      <c r="K8" s="4683"/>
    </row>
    <row r="9" spans="1:11" ht="12" customHeight="1">
      <c r="C9" s="431" t="s">
        <v>2733</v>
      </c>
      <c r="E9" s="4682"/>
      <c r="F9" s="4682"/>
      <c r="J9" s="4683"/>
      <c r="K9" s="4683"/>
    </row>
    <row r="10" spans="1:11" ht="12" customHeight="1">
      <c r="C10" s="431" t="s">
        <v>2734</v>
      </c>
      <c r="E10" s="4684"/>
      <c r="F10" s="4684"/>
      <c r="G10" s="4684"/>
      <c r="H10" s="4684"/>
    </row>
    <row r="11" spans="1:11" ht="12" customHeight="1">
      <c r="C11" s="431" t="s">
        <v>3375</v>
      </c>
      <c r="E11" s="4684"/>
      <c r="F11" s="4684"/>
      <c r="G11" s="4684"/>
      <c r="H11" s="4684"/>
    </row>
    <row r="12" spans="1:11" ht="12" customHeight="1">
      <c r="C12" s="431" t="s">
        <v>3371</v>
      </c>
      <c r="E12" s="1900"/>
    </row>
    <row r="13" spans="1:11" ht="12" customHeight="1">
      <c r="C13" s="431" t="s">
        <v>3374</v>
      </c>
      <c r="E13" s="1900"/>
    </row>
    <row r="14" spans="1:11" ht="3" customHeight="1"/>
    <row r="15" spans="1:11" ht="12" customHeight="1">
      <c r="A15" s="431">
        <v>3</v>
      </c>
      <c r="C15" s="431" t="s">
        <v>2735</v>
      </c>
      <c r="E15" s="608" t="str">
        <f>'Sensitivity Analysis'!C8</f>
        <v>Lewis Crossing</v>
      </c>
    </row>
    <row r="16" spans="1:11" ht="12" customHeight="1">
      <c r="C16" s="431" t="s">
        <v>2736</v>
      </c>
      <c r="E16" s="4684"/>
      <c r="F16" s="4684"/>
      <c r="G16" s="4684"/>
      <c r="H16" s="4684"/>
    </row>
    <row r="17" spans="1:8" ht="12" customHeight="1">
      <c r="E17" s="437" t="str">
        <f>'Part I-Project Identification'!F27</f>
        <v>Atlanta</v>
      </c>
      <c r="F17" s="598" t="s">
        <v>790</v>
      </c>
      <c r="G17" s="4685" t="s">
        <v>4638</v>
      </c>
      <c r="H17" s="4685"/>
    </row>
    <row r="18" spans="1:8" ht="12" customHeight="1">
      <c r="E18" s="608" t="str">
        <f>'Part I-Project Identification'!J27</f>
        <v>Fulton</v>
      </c>
    </row>
    <row r="19" spans="1:8" ht="3" customHeight="1"/>
    <row r="20" spans="1:8" ht="12" customHeight="1">
      <c r="A20" s="431">
        <v>4</v>
      </c>
      <c r="C20" s="431" t="s">
        <v>2737</v>
      </c>
      <c r="E20" s="4684"/>
      <c r="F20" s="4684"/>
      <c r="G20" s="4684"/>
      <c r="H20" s="4684"/>
    </row>
    <row r="21" spans="1:8" ht="12" customHeight="1">
      <c r="C21" s="431" t="s">
        <v>2738</v>
      </c>
      <c r="E21" s="4684"/>
      <c r="F21" s="4684"/>
      <c r="G21" s="4684"/>
      <c r="H21" s="4684"/>
    </row>
    <row r="22" spans="1:8" ht="12" customHeight="1">
      <c r="E22" s="4684"/>
      <c r="F22" s="4684"/>
      <c r="G22" s="4684"/>
      <c r="H22" s="4684"/>
    </row>
    <row r="23" spans="1:8" ht="12" customHeight="1">
      <c r="C23" s="431" t="s">
        <v>3371</v>
      </c>
      <c r="E23" s="1900"/>
    </row>
    <row r="24" spans="1:8" ht="12" customHeight="1">
      <c r="C24" s="431" t="s">
        <v>3374</v>
      </c>
      <c r="E24" s="1900"/>
    </row>
    <row r="25" spans="1:8" ht="12" customHeight="1">
      <c r="C25" s="431" t="s">
        <v>3375</v>
      </c>
      <c r="E25" s="4684"/>
      <c r="F25" s="4684"/>
      <c r="G25" s="4684"/>
      <c r="H25" s="4684"/>
    </row>
    <row r="26" spans="1:8" ht="3" customHeight="1">
      <c r="E26" s="608"/>
    </row>
    <row r="27" spans="1:8" ht="12" customHeight="1">
      <c r="A27" s="431">
        <v>5</v>
      </c>
      <c r="C27" s="431" t="s">
        <v>2739</v>
      </c>
      <c r="E27" s="608" t="str">
        <f>'Sensitivity Analysis'!$H$7</f>
        <v>New Construction</v>
      </c>
    </row>
    <row r="28" spans="1:8" ht="12" customHeight="1">
      <c r="E28" s="608" t="str">
        <f>'Part I-Project Identification'!F12</f>
        <v>9% Credit Competitive Round only</v>
      </c>
    </row>
    <row r="29" spans="1:8" ht="12" customHeight="1">
      <c r="C29" s="431" t="s">
        <v>3020</v>
      </c>
      <c r="E29" s="431" t="str">
        <f>'Sensitivity Analysis'!$C$9</f>
        <v>&lt;&lt;Select&gt;&gt;</v>
      </c>
    </row>
    <row r="30" spans="1:8" ht="3" customHeight="1"/>
    <row r="31" spans="1:8" ht="12" customHeight="1">
      <c r="A31" s="431">
        <v>6</v>
      </c>
      <c r="C31" s="431" t="s">
        <v>2740</v>
      </c>
      <c r="E31" s="431" t="s">
        <v>2212</v>
      </c>
      <c r="F31" s="1007">
        <f>'Part II-Sources of Funds'!L22</f>
        <v>17300000</v>
      </c>
      <c r="G31" s="431" t="s">
        <v>2741</v>
      </c>
    </row>
    <row r="32" spans="1:8" ht="12" customHeight="1">
      <c r="F32" s="1007" t="s">
        <v>2742</v>
      </c>
      <c r="G32" s="431" t="s">
        <v>2743</v>
      </c>
    </row>
    <row r="33" spans="1:8" ht="3" customHeight="1">
      <c r="F33" s="603"/>
    </row>
    <row r="34" spans="1:8" ht="12" customHeight="1">
      <c r="A34" s="431">
        <v>7</v>
      </c>
      <c r="C34" s="431" t="s">
        <v>2744</v>
      </c>
      <c r="F34" s="1008">
        <v>0</v>
      </c>
    </row>
    <row r="35" spans="1:8" ht="3" customHeight="1">
      <c r="F35" s="603"/>
    </row>
    <row r="36" spans="1:8" ht="12" customHeight="1">
      <c r="A36" s="431">
        <v>8</v>
      </c>
      <c r="C36" s="431" t="s">
        <v>2745</v>
      </c>
      <c r="E36" s="431" t="s">
        <v>2212</v>
      </c>
      <c r="F36" s="1009">
        <v>0.01</v>
      </c>
    </row>
    <row r="37" spans="1:8" ht="3" customHeight="1">
      <c r="F37" s="1008"/>
    </row>
    <row r="38" spans="1:8" ht="12" customHeight="1">
      <c r="A38" s="431">
        <v>9</v>
      </c>
      <c r="C38" s="431" t="s">
        <v>2746</v>
      </c>
      <c r="F38" s="1010">
        <v>24</v>
      </c>
      <c r="G38" s="431" t="s">
        <v>2747</v>
      </c>
    </row>
    <row r="39" spans="1:8" ht="3" customHeight="1">
      <c r="F39" s="1008"/>
    </row>
    <row r="40" spans="1:8" ht="12" customHeight="1">
      <c r="A40" s="431">
        <v>10</v>
      </c>
      <c r="C40" s="431" t="s">
        <v>2748</v>
      </c>
      <c r="E40" s="431" t="s">
        <v>2212</v>
      </c>
      <c r="F40" s="603">
        <f>'Part II-Sources of Funds'!L40*12</f>
        <v>180</v>
      </c>
      <c r="G40" s="431" t="s">
        <v>2747</v>
      </c>
    </row>
    <row r="41" spans="1:8" ht="3" customHeight="1">
      <c r="F41" s="603"/>
    </row>
    <row r="42" spans="1:8" ht="12" customHeight="1">
      <c r="A42" s="431">
        <v>11</v>
      </c>
      <c r="C42" s="431" t="s">
        <v>2749</v>
      </c>
      <c r="F42" s="1011">
        <v>24</v>
      </c>
      <c r="G42" s="431" t="s">
        <v>2747</v>
      </c>
    </row>
    <row r="43" spans="1:8" ht="3" customHeight="1"/>
    <row r="44" spans="1:8" ht="12" customHeight="1">
      <c r="A44" s="431">
        <v>12</v>
      </c>
      <c r="C44" s="431" t="s">
        <v>2750</v>
      </c>
      <c r="F44" s="1012" t="s">
        <v>2751</v>
      </c>
    </row>
    <row r="45" spans="1:8" ht="3" customHeight="1"/>
    <row r="46" spans="1:8" ht="12" customHeight="1">
      <c r="A46" s="431">
        <v>13</v>
      </c>
      <c r="C46" s="431" t="s">
        <v>2752</v>
      </c>
      <c r="E46" s="431" t="s">
        <v>2212</v>
      </c>
      <c r="F46" s="608" t="s">
        <v>2753</v>
      </c>
    </row>
    <row r="47" spans="1:8" ht="3" customHeight="1">
      <c r="F47" s="599"/>
    </row>
    <row r="48" spans="1:8" ht="12" customHeight="1">
      <c r="A48" s="431">
        <v>14</v>
      </c>
      <c r="C48" s="431" t="s">
        <v>2754</v>
      </c>
      <c r="E48" s="4684"/>
      <c r="F48" s="4684"/>
      <c r="G48" s="4684"/>
      <c r="H48" s="4684"/>
    </row>
    <row r="49" spans="1:8" ht="3" customHeight="1">
      <c r="E49" s="608"/>
    </row>
    <row r="50" spans="1:8" ht="12" customHeight="1">
      <c r="A50" s="431">
        <v>15</v>
      </c>
      <c r="C50" s="431" t="s">
        <v>3377</v>
      </c>
      <c r="E50" s="4684"/>
      <c r="F50" s="4684"/>
      <c r="G50" s="4684"/>
      <c r="H50" s="4684"/>
    </row>
    <row r="51" spans="1:8" ht="12" customHeight="1">
      <c r="C51" s="431" t="s">
        <v>2755</v>
      </c>
      <c r="E51" s="4684"/>
      <c r="F51" s="4684"/>
      <c r="G51" s="4684"/>
      <c r="H51" s="4684"/>
    </row>
    <row r="52" spans="1:8" ht="3" customHeight="1">
      <c r="F52" s="603"/>
    </row>
    <row r="53" spans="1:8" ht="12" customHeight="1">
      <c r="A53" s="431">
        <v>16</v>
      </c>
      <c r="C53" s="431" t="s">
        <v>2756</v>
      </c>
      <c r="F53" s="1011">
        <f>ProrationMethodCostAllocatnDCA!$D$64</f>
        <v>0</v>
      </c>
    </row>
    <row r="54" spans="1:8" ht="3" customHeight="1">
      <c r="F54" s="603"/>
    </row>
    <row r="55" spans="1:8" ht="12" customHeight="1">
      <c r="A55" s="431">
        <v>17</v>
      </c>
      <c r="C55" s="431" t="s">
        <v>2757</v>
      </c>
      <c r="F55" s="1013" t="e">
        <f>ProrationMethodCostAllocatnDCA!$H$52</f>
        <v>#VALUE!</v>
      </c>
    </row>
    <row r="56" spans="1:8" ht="3" customHeight="1">
      <c r="F56" s="603"/>
    </row>
    <row r="57" spans="1:8" ht="12" customHeight="1">
      <c r="A57" s="431">
        <v>18</v>
      </c>
      <c r="C57" s="431" t="s">
        <v>2758</v>
      </c>
      <c r="F57" s="1013">
        <f>'Part V-Revenues &amp; Expenses'!P66</f>
        <v>0</v>
      </c>
      <c r="G57" s="431" t="s">
        <v>3376</v>
      </c>
    </row>
    <row r="58" spans="1:8" ht="3" customHeight="1">
      <c r="F58" s="603"/>
    </row>
    <row r="59" spans="1:8" ht="12" customHeight="1">
      <c r="A59" s="431">
        <v>19</v>
      </c>
      <c r="C59" s="431" t="s">
        <v>2759</v>
      </c>
      <c r="F59" s="1470">
        <f>'Part VII-Threshold Criteria OLD'!$P$44</f>
        <v>0</v>
      </c>
      <c r="G59" s="431" t="s">
        <v>3022</v>
      </c>
    </row>
    <row r="60" spans="1:8" ht="3" customHeight="1">
      <c r="F60" s="603"/>
    </row>
    <row r="61" spans="1:8" ht="12" customHeight="1">
      <c r="A61" s="431">
        <v>20</v>
      </c>
      <c r="C61" s="431" t="s">
        <v>2760</v>
      </c>
      <c r="F61" s="1014">
        <f>'Subsidy Layering Memo'!$L$70</f>
        <v>1813224.0627545342</v>
      </c>
    </row>
    <row r="62" spans="1:8" ht="3" customHeight="1"/>
    <row r="63" spans="1:8" ht="12" customHeight="1">
      <c r="A63" s="431">
        <v>21</v>
      </c>
      <c r="C63" s="431" t="s">
        <v>3037</v>
      </c>
      <c r="E63" s="1015" t="s">
        <v>3023</v>
      </c>
      <c r="F63" s="1016" t="s">
        <v>3024</v>
      </c>
      <c r="G63" s="1015" t="s">
        <v>2761</v>
      </c>
    </row>
    <row r="64" spans="1:8" ht="12" customHeight="1">
      <c r="E64" s="1015" t="s">
        <v>3023</v>
      </c>
      <c r="F64" s="1016" t="s">
        <v>3024</v>
      </c>
      <c r="G64" s="1015" t="s">
        <v>4058</v>
      </c>
    </row>
    <row r="65" spans="1:7" ht="12" customHeight="1">
      <c r="E65" s="1015" t="s">
        <v>3023</v>
      </c>
      <c r="F65" s="1016" t="s">
        <v>3024</v>
      </c>
      <c r="G65" s="1015" t="s">
        <v>4059</v>
      </c>
    </row>
    <row r="66" spans="1:7" ht="12" customHeight="1">
      <c r="E66" s="1015" t="s">
        <v>3023</v>
      </c>
      <c r="F66" s="1016" t="s">
        <v>3024</v>
      </c>
      <c r="G66" s="1015" t="s">
        <v>4060</v>
      </c>
    </row>
    <row r="67" spans="1:7" ht="3" customHeight="1"/>
    <row r="68" spans="1:7" ht="12" customHeight="1">
      <c r="A68" s="431">
        <v>22</v>
      </c>
      <c r="C68" s="431" t="s">
        <v>2762</v>
      </c>
      <c r="E68" s="608">
        <f>'Sensitivity Analysis'!H9</f>
        <v>0</v>
      </c>
    </row>
    <row r="69" spans="1:7" ht="3" customHeight="1"/>
    <row r="70" spans="1:7" ht="12" customHeight="1">
      <c r="A70" s="431">
        <v>23</v>
      </c>
      <c r="C70" s="431" t="s">
        <v>2763</v>
      </c>
      <c r="F70" s="603" t="s">
        <v>2764</v>
      </c>
    </row>
    <row r="71" spans="1:7" ht="3" customHeight="1"/>
    <row r="72" spans="1:7" ht="12" customHeight="1">
      <c r="A72" s="431">
        <v>24</v>
      </c>
      <c r="C72" s="431" t="s">
        <v>2765</v>
      </c>
      <c r="E72" s="431" t="s">
        <v>2212</v>
      </c>
      <c r="F72" s="603">
        <v>20</v>
      </c>
      <c r="G72" s="431" t="s">
        <v>2267</v>
      </c>
    </row>
    <row r="73" spans="1:7" ht="3" customHeight="1"/>
    <row r="74" spans="1:7" ht="12" customHeight="1">
      <c r="A74" s="431">
        <v>25</v>
      </c>
      <c r="C74" s="431" t="s">
        <v>2766</v>
      </c>
      <c r="F74" s="1017">
        <f>'Part III-A-Uses of Funds'!$G$131</f>
        <v>254890</v>
      </c>
    </row>
    <row r="75" spans="1:7" ht="3" customHeight="1">
      <c r="F75" s="1017"/>
    </row>
    <row r="76" spans="1:7" ht="12" customHeight="1">
      <c r="A76" s="431">
        <v>26</v>
      </c>
      <c r="C76" s="431" t="s">
        <v>2767</v>
      </c>
      <c r="F76" s="1017">
        <f>'Part III-A-Uses of Funds'!$G$132</f>
        <v>0</v>
      </c>
    </row>
    <row r="77" spans="1:7" ht="3" customHeight="1">
      <c r="F77" s="1017"/>
    </row>
    <row r="78" spans="1:7" ht="12" customHeight="1">
      <c r="A78" s="431">
        <v>27</v>
      </c>
      <c r="C78" s="431" t="s">
        <v>2768</v>
      </c>
      <c r="F78" s="1017">
        <f>'Part III-A-Uses of Funds'!$G$130</f>
        <v>79037</v>
      </c>
    </row>
    <row r="79" spans="1:7" ht="3" customHeight="1">
      <c r="F79" s="1017"/>
    </row>
    <row r="80" spans="1:7" ht="12" customHeight="1">
      <c r="A80" s="431">
        <v>28</v>
      </c>
      <c r="C80" s="431" t="s">
        <v>2769</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89" t="s">
        <v>2894</v>
      </c>
      <c r="B1" s="4689"/>
      <c r="C1" s="4689"/>
      <c r="D1" s="4689"/>
      <c r="E1" s="4689"/>
      <c r="F1" s="4689"/>
      <c r="G1" s="4689"/>
      <c r="H1" s="4689"/>
      <c r="I1" s="4689"/>
      <c r="J1" s="4689"/>
    </row>
    <row r="2" spans="1:13" ht="15">
      <c r="A2" s="4689" t="str">
        <f>'Sensitivity Analysis'!E8&amp;"  "&amp;'Sensitivity Analysis'!C8</f>
        <v>2024-0  Lewis Crossing</v>
      </c>
      <c r="B2" s="4689"/>
      <c r="C2" s="4689"/>
      <c r="D2" s="4689"/>
      <c r="E2" s="4689"/>
      <c r="F2" s="4689"/>
      <c r="G2" s="4689"/>
      <c r="H2" s="4689"/>
      <c r="I2" s="4689"/>
      <c r="J2" s="4689"/>
    </row>
    <row r="3" spans="1:13" ht="6" customHeight="1">
      <c r="K3" s="4683" t="s">
        <v>3370</v>
      </c>
      <c r="L3" s="4683"/>
      <c r="M3" s="4683"/>
    </row>
    <row r="4" spans="1:13" ht="12" customHeight="1">
      <c r="A4" s="601" t="s">
        <v>2770</v>
      </c>
      <c r="K4" s="4683"/>
      <c r="L4" s="4683"/>
      <c r="M4" s="4683"/>
    </row>
    <row r="5" spans="1:13" ht="12" customHeight="1">
      <c r="A5" s="431" t="s">
        <v>2771</v>
      </c>
      <c r="C5" s="549" t="str">
        <f>'Subsidy Layering Memo'!D6</f>
        <v>(Underwriter)</v>
      </c>
      <c r="I5" s="549"/>
      <c r="K5" s="4683"/>
      <c r="L5" s="4683"/>
      <c r="M5" s="4683"/>
    </row>
    <row r="6" spans="1:13" ht="6" customHeight="1">
      <c r="C6" s="549"/>
      <c r="D6" s="549"/>
      <c r="I6" s="549"/>
      <c r="K6" s="4683"/>
      <c r="L6" s="4683"/>
      <c r="M6" s="4683"/>
    </row>
    <row r="7" spans="1:13" ht="12" customHeight="1">
      <c r="A7" s="601" t="s">
        <v>2772</v>
      </c>
      <c r="C7" s="549"/>
      <c r="D7" s="549"/>
      <c r="I7" s="549"/>
      <c r="K7" s="4683"/>
      <c r="L7" s="4683"/>
      <c r="M7" s="4683"/>
    </row>
    <row r="8" spans="1:13" ht="12" customHeight="1">
      <c r="A8" s="431" t="s">
        <v>2773</v>
      </c>
      <c r="C8" s="549">
        <f>'Sensitivity Analysis'!$H$9</f>
        <v>0</v>
      </c>
      <c r="I8" s="549"/>
      <c r="K8" s="4683"/>
      <c r="L8" s="4683"/>
      <c r="M8" s="4683"/>
    </row>
    <row r="9" spans="1:13" ht="3" customHeight="1">
      <c r="C9" s="549"/>
      <c r="D9" s="549"/>
      <c r="I9" s="549"/>
    </row>
    <row r="10" spans="1:13" ht="12" customHeight="1">
      <c r="A10" s="431" t="s">
        <v>2774</v>
      </c>
      <c r="C10" s="970" t="s">
        <v>1641</v>
      </c>
      <c r="I10" s="549"/>
    </row>
    <row r="11" spans="1:13" ht="12" customHeight="1">
      <c r="C11" s="970" t="s">
        <v>1641</v>
      </c>
      <c r="I11" s="549"/>
    </row>
    <row r="12" spans="1:13" ht="12" customHeight="1">
      <c r="C12" s="549" t="s">
        <v>2437</v>
      </c>
      <c r="D12" s="614" t="s">
        <v>1641</v>
      </c>
      <c r="I12" s="549"/>
    </row>
    <row r="13" spans="1:13" ht="12" customHeight="1">
      <c r="C13" s="549" t="s">
        <v>2775</v>
      </c>
      <c r="D13" s="4688"/>
      <c r="E13" s="4688"/>
      <c r="F13" s="4688"/>
      <c r="G13" s="4688"/>
      <c r="H13" s="4688"/>
      <c r="I13" s="4688"/>
      <c r="J13" s="4688"/>
    </row>
    <row r="14" spans="1:13" ht="3" customHeight="1">
      <c r="G14" s="549"/>
      <c r="H14" s="549"/>
      <c r="I14" s="549"/>
    </row>
    <row r="15" spans="1:13" ht="12" customHeight="1">
      <c r="A15" s="431" t="s">
        <v>2776</v>
      </c>
      <c r="C15" s="602">
        <f>'Preview term'!E10</f>
        <v>0</v>
      </c>
      <c r="G15" s="549"/>
      <c r="I15" s="549"/>
    </row>
    <row r="16" spans="1:13" ht="12" customHeight="1">
      <c r="A16" s="608" t="s">
        <v>3543</v>
      </c>
      <c r="C16" s="602">
        <f>'Part II-Development Team'!Q7</f>
        <v>0</v>
      </c>
      <c r="G16" s="549"/>
      <c r="I16" s="549"/>
    </row>
    <row r="17" spans="1:9" ht="3" customHeight="1">
      <c r="G17" s="549"/>
      <c r="H17" s="549"/>
      <c r="I17" s="549"/>
    </row>
    <row r="18" spans="1:9" ht="12" customHeight="1">
      <c r="A18" s="431" t="s">
        <v>2777</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2778</v>
      </c>
      <c r="C21" s="602" t="str">
        <f>CONCATENATE('Preview term'!E50," of  ",'Preview term'!G50)</f>
        <v xml:space="preserve"> of  </v>
      </c>
      <c r="G21" s="549"/>
      <c r="I21" s="549"/>
    </row>
    <row r="22" spans="1:9" ht="3" customHeight="1">
      <c r="C22" s="602"/>
      <c r="G22" s="549"/>
      <c r="I22" s="549"/>
    </row>
    <row r="23" spans="1:9" ht="12" customHeight="1">
      <c r="A23" s="431" t="s">
        <v>2779</v>
      </c>
      <c r="C23" s="602">
        <f>'Preview term'!E12</f>
        <v>0</v>
      </c>
      <c r="G23" s="549"/>
      <c r="I23" s="549"/>
    </row>
    <row r="24" spans="1:9" ht="3" customHeight="1">
      <c r="C24" s="602"/>
      <c r="G24" s="549"/>
      <c r="I24" s="549"/>
    </row>
    <row r="25" spans="1:9" ht="12" customHeight="1">
      <c r="A25" s="431" t="s">
        <v>2780</v>
      </c>
      <c r="C25" s="972">
        <f>'Preview term'!E11</f>
        <v>0</v>
      </c>
      <c r="G25" s="549"/>
    </row>
    <row r="26" spans="1:9" ht="6" customHeight="1">
      <c r="G26" s="549"/>
      <c r="H26" s="549"/>
      <c r="I26" s="549"/>
    </row>
    <row r="27" spans="1:9" ht="12" customHeight="1">
      <c r="A27" s="601" t="s">
        <v>2781</v>
      </c>
      <c r="G27" s="549"/>
      <c r="H27" s="549"/>
      <c r="I27" s="549"/>
    </row>
    <row r="28" spans="1:9" ht="12" customHeight="1">
      <c r="A28" s="431" t="s">
        <v>2782</v>
      </c>
      <c r="C28" s="602" t="str">
        <f>'Sensitivity Analysis'!$C$8</f>
        <v>Lewis Crossing</v>
      </c>
      <c r="I28" s="549"/>
    </row>
    <row r="29" spans="1:9" ht="3" customHeight="1">
      <c r="C29" s="602"/>
      <c r="I29" s="549"/>
    </row>
    <row r="30" spans="1:9" ht="12" customHeight="1">
      <c r="A30" s="431" t="s">
        <v>2783</v>
      </c>
      <c r="C30" s="602">
        <f>'Preview term'!E16</f>
        <v>0</v>
      </c>
      <c r="I30" s="549"/>
    </row>
    <row r="31" spans="1:9">
      <c r="C31" s="549" t="str">
        <f>'Preview term'!E17</f>
        <v>Atlanta</v>
      </c>
      <c r="I31" s="549"/>
    </row>
    <row r="32" spans="1:9" ht="3" customHeight="1">
      <c r="C32" s="549"/>
      <c r="D32" s="549"/>
      <c r="I32" s="549"/>
    </row>
    <row r="33" spans="1:10" ht="12" customHeight="1">
      <c r="A33" s="431" t="s">
        <v>2784</v>
      </c>
      <c r="C33" s="549" t="s">
        <v>2785</v>
      </c>
      <c r="D33" s="971" t="e">
        <f>'Preview term'!$F$55</f>
        <v>#VALUE!</v>
      </c>
      <c r="I33" s="549"/>
    </row>
    <row r="34" spans="1:10" ht="12" customHeight="1">
      <c r="C34" s="549" t="s">
        <v>2786</v>
      </c>
      <c r="D34" s="1902" t="e">
        <f>D35-D33</f>
        <v>#VALUE!</v>
      </c>
      <c r="I34" s="549"/>
    </row>
    <row r="35" spans="1:10" ht="12" customHeight="1">
      <c r="C35" s="549" t="s">
        <v>2787</v>
      </c>
      <c r="D35" s="2394">
        <f>'Preview term'!$F$53</f>
        <v>0</v>
      </c>
      <c r="I35" s="549"/>
    </row>
    <row r="36" spans="1:10" ht="3" customHeight="1">
      <c r="C36" s="549"/>
      <c r="D36" s="549"/>
      <c r="I36" s="549"/>
    </row>
    <row r="37" spans="1:10" ht="12" customHeight="1">
      <c r="A37" s="431" t="s">
        <v>2788</v>
      </c>
      <c r="C37" s="1015" t="s">
        <v>1641</v>
      </c>
      <c r="D37" s="969">
        <f>'Preview term'!F57</f>
        <v>0</v>
      </c>
      <c r="E37" s="549" t="s">
        <v>2789</v>
      </c>
      <c r="I37" s="549"/>
    </row>
    <row r="38" spans="1:10" ht="3" customHeight="1">
      <c r="G38" s="604"/>
      <c r="H38" s="549"/>
      <c r="I38" s="549"/>
    </row>
    <row r="39" spans="1:10" ht="25.5" customHeight="1">
      <c r="A39" s="605" t="s">
        <v>4061</v>
      </c>
      <c r="C39" s="4690" t="str">
        <f>_xlfn.CONCAT('Part VII-Threshold Criteria OLD'!K192," and ",'Part VII-Threshold Criteria OLD'!K193)</f>
        <v>&lt;&lt;Select&gt;&gt; and &lt;&lt;Select&gt;&gt;</v>
      </c>
      <c r="D39" s="4690"/>
      <c r="E39" s="4690"/>
      <c r="F39" s="4690"/>
      <c r="G39" s="4690"/>
      <c r="H39" s="4690"/>
      <c r="I39" s="4690"/>
      <c r="J39" s="4690"/>
    </row>
    <row r="40" spans="1:10" ht="25.5" customHeight="1">
      <c r="A40" s="605" t="s">
        <v>4062</v>
      </c>
      <c r="C40" s="46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0"/>
      <c r="E40" s="4690"/>
      <c r="F40" s="4690"/>
      <c r="G40" s="4690"/>
      <c r="H40" s="4690"/>
      <c r="I40" s="4690"/>
      <c r="J40" s="4690"/>
    </row>
    <row r="41" spans="1:10" ht="3" customHeight="1">
      <c r="G41" s="549"/>
      <c r="H41" s="549"/>
      <c r="I41" s="549"/>
    </row>
    <row r="42" spans="1:10" ht="25.5" customHeight="1">
      <c r="A42" s="605" t="s">
        <v>2790</v>
      </c>
      <c r="C42" s="4690" t="s">
        <v>3025</v>
      </c>
      <c r="D42" s="4690"/>
      <c r="E42" s="4690"/>
      <c r="F42" s="4690"/>
      <c r="G42" s="4690"/>
      <c r="H42" s="4690"/>
      <c r="I42" s="4690"/>
      <c r="J42" s="4690"/>
    </row>
    <row r="43" spans="1:10" ht="3" customHeight="1">
      <c r="C43" s="437"/>
      <c r="D43" s="437"/>
      <c r="E43" s="437"/>
      <c r="F43" s="437"/>
      <c r="G43" s="437"/>
      <c r="H43" s="438"/>
      <c r="I43" s="438"/>
      <c r="J43" s="438"/>
    </row>
    <row r="44" spans="1:10" ht="12" customHeight="1">
      <c r="A44" s="431" t="s">
        <v>2791</v>
      </c>
      <c r="C44" s="503" t="str">
        <f>'Part I-Project Identification'!J27</f>
        <v>Fulton</v>
      </c>
      <c r="D44" s="437"/>
      <c r="F44" s="438"/>
      <c r="I44" s="438"/>
      <c r="J44" s="438"/>
    </row>
    <row r="45" spans="1:10" ht="3" customHeight="1">
      <c r="C45" s="437"/>
      <c r="D45" s="437"/>
      <c r="E45" s="437"/>
      <c r="F45" s="438"/>
      <c r="I45" s="438"/>
      <c r="J45" s="438"/>
    </row>
    <row r="46" spans="1:10" ht="12" customHeight="1">
      <c r="A46" s="431" t="s">
        <v>2792</v>
      </c>
      <c r="C46" s="614" t="s">
        <v>1641</v>
      </c>
      <c r="I46" s="438"/>
      <c r="J46" s="438"/>
    </row>
    <row r="47" spans="1:10" ht="3" customHeight="1">
      <c r="C47" s="549"/>
      <c r="D47" s="604"/>
      <c r="I47" s="549"/>
    </row>
    <row r="48" spans="1:10" ht="12" customHeight="1">
      <c r="A48" s="431" t="s">
        <v>2793</v>
      </c>
      <c r="C48" s="1471">
        <f>'Preview term'!F59</f>
        <v>0</v>
      </c>
      <c r="I48" s="606"/>
      <c r="J48" s="606"/>
    </row>
    <row r="49" spans="1:10" ht="3" customHeight="1">
      <c r="D49" s="606"/>
      <c r="E49" s="606"/>
      <c r="F49" s="606"/>
      <c r="G49" s="606"/>
      <c r="H49" s="549"/>
      <c r="I49" s="606"/>
      <c r="J49" s="606"/>
    </row>
    <row r="50" spans="1:10" ht="12" customHeight="1">
      <c r="A50" s="549"/>
      <c r="B50" s="431" t="s">
        <v>2794</v>
      </c>
      <c r="C50" s="4690" t="s">
        <v>532</v>
      </c>
      <c r="D50" s="4690"/>
      <c r="E50" s="4690"/>
      <c r="F50" s="4690"/>
      <c r="G50" s="4690"/>
      <c r="H50" s="4690"/>
      <c r="I50" s="4690"/>
      <c r="J50" s="4690"/>
    </row>
    <row r="51" spans="1:10" ht="12" customHeight="1">
      <c r="C51" s="4692" t="s">
        <v>1672</v>
      </c>
      <c r="D51" s="4692"/>
      <c r="E51" s="4692"/>
      <c r="F51" s="4692"/>
      <c r="G51" s="4692"/>
      <c r="H51" s="4692"/>
      <c r="I51" s="4692"/>
      <c r="J51" s="4692"/>
    </row>
    <row r="52" spans="1:10" ht="3" customHeight="1">
      <c r="D52" s="606"/>
      <c r="E52" s="606"/>
      <c r="F52" s="606"/>
      <c r="G52" s="606"/>
      <c r="H52" s="549"/>
      <c r="I52" s="606"/>
      <c r="J52" s="606"/>
    </row>
    <row r="53" spans="1:10" ht="12" customHeight="1">
      <c r="A53" s="605" t="s">
        <v>2795</v>
      </c>
      <c r="B53" s="605"/>
      <c r="C53" s="607" t="s">
        <v>2796</v>
      </c>
      <c r="D53" s="607" t="s">
        <v>3026</v>
      </c>
      <c r="E53" s="4693"/>
      <c r="F53" s="4693"/>
      <c r="G53" s="4693"/>
      <c r="H53" s="4693"/>
      <c r="I53" s="4693"/>
      <c r="J53" s="4693"/>
    </row>
    <row r="54" spans="1:10" ht="12" customHeight="1">
      <c r="A54" s="605"/>
      <c r="B54" s="605"/>
      <c r="C54" s="605"/>
      <c r="D54" s="607" t="s">
        <v>3027</v>
      </c>
      <c r="E54" s="4694"/>
      <c r="F54" s="4694"/>
      <c r="G54" s="4694"/>
      <c r="H54" s="4694"/>
      <c r="I54" s="4694"/>
      <c r="J54" s="4694"/>
    </row>
    <row r="55" spans="1:10" ht="12" customHeight="1">
      <c r="A55" s="601" t="s">
        <v>2797</v>
      </c>
      <c r="G55" s="549"/>
      <c r="H55" s="549"/>
      <c r="I55" s="549"/>
    </row>
    <row r="56" spans="1:10" ht="18" customHeight="1">
      <c r="A56" s="431" t="s">
        <v>2798</v>
      </c>
      <c r="C56" s="602">
        <f>'Sensitivity Analysis'!C10</f>
        <v>0</v>
      </c>
      <c r="G56" s="549"/>
      <c r="I56" s="549"/>
    </row>
    <row r="57" spans="1:10" ht="3" customHeight="1">
      <c r="C57" s="602"/>
      <c r="G57" s="549"/>
      <c r="I57" s="549"/>
    </row>
    <row r="58" spans="1:10" ht="12" customHeight="1">
      <c r="A58" s="431" t="s">
        <v>2799</v>
      </c>
      <c r="C58" s="602">
        <f>'Sensitivity Analysis'!C11</f>
        <v>0</v>
      </c>
      <c r="E58" s="602">
        <f>'Sensitivity Analysis'!E11</f>
        <v>0</v>
      </c>
      <c r="G58" s="549"/>
      <c r="I58" s="549"/>
    </row>
    <row r="59" spans="1:10" ht="3" customHeight="1">
      <c r="C59" s="602"/>
      <c r="G59" s="549"/>
      <c r="I59" s="549"/>
    </row>
    <row r="60" spans="1:10" ht="12" customHeight="1">
      <c r="A60" s="431" t="s">
        <v>2800</v>
      </c>
      <c r="C60" s="602" t="s">
        <v>2508</v>
      </c>
      <c r="G60" s="549"/>
      <c r="I60" s="549"/>
    </row>
    <row r="61" spans="1:10" ht="6" customHeight="1">
      <c r="G61" s="549"/>
      <c r="H61" s="549"/>
      <c r="I61" s="549"/>
    </row>
    <row r="62" spans="1:10" ht="12" customHeight="1">
      <c r="A62" s="601" t="s">
        <v>2801</v>
      </c>
      <c r="G62" s="549"/>
      <c r="H62" s="549"/>
      <c r="I62" s="549"/>
    </row>
    <row r="63" spans="1:10" ht="12" customHeight="1">
      <c r="A63" s="431" t="s">
        <v>2802</v>
      </c>
      <c r="C63" s="431" t="s">
        <v>2803</v>
      </c>
      <c r="D63" s="973">
        <f>'Preview term'!F31</f>
        <v>17300000</v>
      </c>
      <c r="G63" s="549"/>
      <c r="I63" s="549"/>
    </row>
    <row r="64" spans="1:10" ht="3" customHeight="1">
      <c r="D64" s="608"/>
      <c r="G64" s="549"/>
      <c r="H64" s="609"/>
      <c r="I64" s="549"/>
    </row>
    <row r="65" spans="1:10" ht="12" customHeight="1">
      <c r="A65" s="431" t="s">
        <v>2804</v>
      </c>
      <c r="C65" s="431" t="s">
        <v>2806</v>
      </c>
      <c r="D65" s="602" t="s">
        <v>905</v>
      </c>
      <c r="G65" s="549"/>
      <c r="I65" s="549"/>
    </row>
    <row r="66" spans="1:10" ht="3" customHeight="1">
      <c r="D66" s="608"/>
      <c r="G66" s="549"/>
      <c r="H66" s="549"/>
      <c r="I66" s="549"/>
    </row>
    <row r="67" spans="1:10" ht="12" customHeight="1">
      <c r="A67" s="431" t="s">
        <v>2807</v>
      </c>
      <c r="C67" s="974" t="s">
        <v>1641</v>
      </c>
      <c r="D67" s="608"/>
      <c r="I67" s="549"/>
    </row>
    <row r="68" spans="1:10" ht="12" customHeight="1">
      <c r="C68" s="431" t="s">
        <v>2808</v>
      </c>
      <c r="D68" s="1005" t="s">
        <v>1641</v>
      </c>
      <c r="I68" s="549"/>
    </row>
    <row r="69" spans="1:10" ht="12" customHeight="1">
      <c r="C69" s="431" t="s">
        <v>2775</v>
      </c>
      <c r="D69" s="4688"/>
      <c r="E69" s="4688"/>
      <c r="F69" s="4688"/>
      <c r="G69" s="4688"/>
      <c r="H69" s="4688"/>
      <c r="I69" s="4688"/>
      <c r="J69" s="4688"/>
    </row>
    <row r="70" spans="1:10" ht="3" customHeight="1">
      <c r="D70" s="608"/>
      <c r="E70" s="549"/>
      <c r="F70" s="549"/>
      <c r="I70" s="549"/>
    </row>
    <row r="71" spans="1:10" ht="12" customHeight="1">
      <c r="A71" s="431" t="s">
        <v>2809</v>
      </c>
      <c r="C71" s="431" t="s">
        <v>2212</v>
      </c>
      <c r="D71" s="614" t="s">
        <v>1641</v>
      </c>
      <c r="I71" s="549"/>
    </row>
    <row r="72" spans="1:10" ht="3" customHeight="1">
      <c r="D72" s="549"/>
      <c r="E72" s="549"/>
      <c r="I72" s="549"/>
    </row>
    <row r="73" spans="1:10" ht="12" customHeight="1">
      <c r="A73" s="431" t="s">
        <v>2810</v>
      </c>
      <c r="C73" s="974" t="s">
        <v>1641</v>
      </c>
      <c r="I73" s="549"/>
    </row>
    <row r="74" spans="1:10" ht="3" customHeight="1">
      <c r="C74" s="608"/>
      <c r="G74" s="549"/>
      <c r="H74" s="549"/>
      <c r="I74" s="549"/>
    </row>
    <row r="75" spans="1:10" ht="12" customHeight="1">
      <c r="A75" s="431" t="s">
        <v>2811</v>
      </c>
      <c r="C75" s="608" t="s">
        <v>2812</v>
      </c>
      <c r="D75" s="976">
        <v>0</v>
      </c>
      <c r="J75" s="549"/>
    </row>
    <row r="76" spans="1:10" ht="12" customHeight="1">
      <c r="C76" s="610" t="s">
        <v>2906</v>
      </c>
      <c r="D76" s="977">
        <v>0.01</v>
      </c>
      <c r="J76" s="549"/>
    </row>
    <row r="77" spans="1:10" ht="3" customHeight="1">
      <c r="C77" s="608"/>
      <c r="D77" s="608"/>
      <c r="G77" s="549"/>
      <c r="H77" s="549"/>
      <c r="I77" s="549"/>
    </row>
    <row r="78" spans="1:10" ht="12" customHeight="1">
      <c r="A78" s="431" t="s">
        <v>2813</v>
      </c>
      <c r="C78" s="608" t="s">
        <v>3049</v>
      </c>
      <c r="D78" s="612">
        <v>24</v>
      </c>
      <c r="I78" s="549"/>
    </row>
    <row r="79" spans="1:10" ht="3" customHeight="1">
      <c r="D79" s="608"/>
      <c r="E79" s="549"/>
      <c r="F79" s="549"/>
      <c r="I79" s="549"/>
    </row>
    <row r="80" spans="1:10" ht="12" customHeight="1">
      <c r="A80" s="431" t="s">
        <v>2814</v>
      </c>
      <c r="C80" s="431" t="s">
        <v>2212</v>
      </c>
      <c r="D80" s="612">
        <f>'Preview term'!F40</f>
        <v>180</v>
      </c>
      <c r="E80" s="549" t="s">
        <v>3030</v>
      </c>
      <c r="I80" s="549"/>
    </row>
    <row r="81" spans="1:9" ht="3" customHeight="1">
      <c r="D81" s="608"/>
      <c r="G81" s="549"/>
      <c r="H81" s="549"/>
      <c r="I81" s="549"/>
    </row>
    <row r="82" spans="1:9" ht="12" customHeight="1">
      <c r="A82" s="431" t="s">
        <v>2815</v>
      </c>
      <c r="D82" s="975">
        <v>0</v>
      </c>
      <c r="E82" s="613">
        <f>D82*12</f>
        <v>0</v>
      </c>
      <c r="F82" s="549" t="s">
        <v>3050</v>
      </c>
    </row>
    <row r="83" spans="1:9" ht="3" customHeight="1">
      <c r="D83" s="602"/>
      <c r="E83" s="549"/>
      <c r="G83" s="549"/>
    </row>
    <row r="84" spans="1:9" ht="12" customHeight="1">
      <c r="A84" s="431" t="s">
        <v>2816</v>
      </c>
      <c r="D84" s="1005" t="s">
        <v>905</v>
      </c>
      <c r="E84" s="549" t="s">
        <v>4063</v>
      </c>
      <c r="G84" s="549"/>
    </row>
    <row r="85" spans="1:9" ht="3" customHeight="1">
      <c r="G85" s="549"/>
      <c r="H85" s="549"/>
      <c r="I85" s="549"/>
    </row>
    <row r="86" spans="1:9" ht="12" customHeight="1">
      <c r="A86" s="431" t="s">
        <v>2817</v>
      </c>
      <c r="C86" s="1472">
        <f>'Subsidy Layering Memo'!L70</f>
        <v>1813224.0627545342</v>
      </c>
      <c r="D86" s="615" t="s">
        <v>3028</v>
      </c>
      <c r="I86" s="549"/>
    </row>
    <row r="87" spans="1:9" ht="3" customHeight="1">
      <c r="C87" s="549" t="s">
        <v>1641</v>
      </c>
      <c r="D87" s="549"/>
      <c r="E87" s="549"/>
      <c r="I87" s="549"/>
    </row>
    <row r="88" spans="1:9" ht="12" customHeight="1">
      <c r="A88" s="431" t="s">
        <v>2818</v>
      </c>
      <c r="B88" s="616"/>
      <c r="C88" s="974" t="s">
        <v>1641</v>
      </c>
      <c r="D88" s="979"/>
      <c r="I88" s="549"/>
    </row>
    <row r="89" spans="1:9" ht="3" customHeight="1">
      <c r="G89" s="549"/>
      <c r="H89" s="549"/>
      <c r="I89" s="549"/>
    </row>
    <row r="90" spans="1:9" ht="12" customHeight="1">
      <c r="A90" s="431" t="s">
        <v>2819</v>
      </c>
      <c r="C90" s="608" t="s">
        <v>2820</v>
      </c>
      <c r="D90" s="602" t="s">
        <v>2751</v>
      </c>
      <c r="I90" s="549"/>
    </row>
    <row r="91" spans="1:9" ht="12" customHeight="1">
      <c r="C91" s="608" t="s">
        <v>2821</v>
      </c>
      <c r="D91" s="602" t="s">
        <v>905</v>
      </c>
      <c r="I91" s="549"/>
    </row>
    <row r="92" spans="1:9" ht="3" customHeight="1">
      <c r="G92" s="549"/>
      <c r="H92" s="549"/>
      <c r="I92" s="549"/>
    </row>
    <row r="93" spans="1:9" ht="12" customHeight="1">
      <c r="A93" s="431" t="s">
        <v>2822</v>
      </c>
      <c r="C93" s="608" t="s">
        <v>2812</v>
      </c>
      <c r="D93" s="549" t="s">
        <v>2823</v>
      </c>
      <c r="E93" s="608" t="str">
        <f>'Part II-Sources of Funds'!H22</f>
        <v>Merchants Capital</v>
      </c>
      <c r="I93" s="549"/>
    </row>
    <row r="94" spans="1:9" ht="12" customHeight="1">
      <c r="C94" s="608"/>
      <c r="D94" s="549"/>
      <c r="E94" s="608" t="s">
        <v>1665</v>
      </c>
      <c r="F94" s="4684"/>
      <c r="G94" s="4684"/>
      <c r="H94" s="4684"/>
      <c r="I94" s="549"/>
    </row>
    <row r="95" spans="1:9" ht="12" customHeight="1">
      <c r="C95" s="608"/>
      <c r="D95" s="549"/>
      <c r="E95" s="608" t="s">
        <v>1835</v>
      </c>
      <c r="F95" s="4695"/>
      <c r="G95" s="4695"/>
      <c r="H95" s="4695"/>
      <c r="I95" s="549"/>
    </row>
    <row r="96" spans="1:9" ht="12" customHeight="1">
      <c r="C96" s="608"/>
      <c r="D96" s="549"/>
      <c r="E96" s="608" t="s">
        <v>1667</v>
      </c>
      <c r="F96" s="4682"/>
      <c r="G96" s="4682"/>
      <c r="H96" s="4682"/>
      <c r="I96" s="549"/>
    </row>
    <row r="97" spans="1:10" ht="12" customHeight="1">
      <c r="B97" s="603"/>
      <c r="C97" s="610" t="s">
        <v>2906</v>
      </c>
      <c r="D97" s="549" t="s">
        <v>2823</v>
      </c>
      <c r="E97" s="608" t="str">
        <f>'Part II-Sources of Funds'!E40</f>
        <v>Merchants Capital</v>
      </c>
      <c r="I97" s="549"/>
    </row>
    <row r="98" spans="1:10" ht="12" customHeight="1">
      <c r="C98" s="608"/>
      <c r="D98" s="549"/>
      <c r="E98" s="608" t="s">
        <v>1665</v>
      </c>
      <c r="F98" s="4684"/>
      <c r="G98" s="4684"/>
      <c r="H98" s="4684"/>
      <c r="I98" s="549"/>
    </row>
    <row r="99" spans="1:10" ht="12" customHeight="1">
      <c r="C99" s="608"/>
      <c r="D99" s="549"/>
      <c r="E99" s="608" t="s">
        <v>1835</v>
      </c>
      <c r="F99" s="4695"/>
      <c r="G99" s="4695"/>
      <c r="H99" s="4695"/>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2824</v>
      </c>
      <c r="D102" s="1005">
        <f>'Part VIII Scoring Criteria OLD'!O265</f>
        <v>0</v>
      </c>
      <c r="E102" s="549" t="s">
        <v>2805</v>
      </c>
      <c r="G102" s="431">
        <f>'Part VIII Scoring Criteria OLD'!O261</f>
        <v>0</v>
      </c>
      <c r="H102" s="431" t="s">
        <v>3029</v>
      </c>
      <c r="I102" s="549"/>
    </row>
    <row r="103" spans="1:10" ht="3" customHeight="1">
      <c r="E103" s="549"/>
      <c r="F103" s="549"/>
      <c r="I103" s="549"/>
    </row>
    <row r="104" spans="1:10" ht="12" customHeight="1">
      <c r="A104" s="549" t="s">
        <v>2907</v>
      </c>
      <c r="D104" s="431" t="s">
        <v>905</v>
      </c>
      <c r="E104" s="549"/>
      <c r="I104" s="549"/>
    </row>
    <row r="105" spans="1:10" ht="6" customHeight="1">
      <c r="G105" s="549"/>
      <c r="H105" s="549"/>
      <c r="I105" s="549"/>
    </row>
    <row r="106" spans="1:10" ht="12" customHeight="1">
      <c r="A106" s="601" t="s">
        <v>2908</v>
      </c>
      <c r="I106" s="549"/>
    </row>
    <row r="107" spans="1:10" ht="12" customHeight="1">
      <c r="A107" s="431" t="s">
        <v>2825</v>
      </c>
      <c r="C107" s="978" t="s">
        <v>1641</v>
      </c>
      <c r="D107" s="4696"/>
      <c r="E107" s="4696"/>
      <c r="F107" s="4696"/>
      <c r="G107" s="4696"/>
      <c r="H107" s="4696"/>
      <c r="I107" s="4696"/>
      <c r="J107" s="4697"/>
    </row>
    <row r="108" spans="1:10" ht="3" customHeight="1">
      <c r="C108" s="608"/>
      <c r="D108" s="549"/>
      <c r="I108" s="549"/>
    </row>
    <row r="109" spans="1:10" ht="12" customHeight="1">
      <c r="A109" s="431" t="s">
        <v>2826</v>
      </c>
      <c r="C109" s="1005" t="s">
        <v>1641</v>
      </c>
    </row>
    <row r="110" spans="1:10" ht="3" customHeight="1">
      <c r="C110" s="608"/>
      <c r="E110" s="549"/>
      <c r="F110" s="549"/>
      <c r="I110" s="549"/>
    </row>
    <row r="111" spans="1:10" ht="12" customHeight="1">
      <c r="A111" s="431" t="s">
        <v>2827</v>
      </c>
      <c r="C111" s="1005" t="s">
        <v>1641</v>
      </c>
      <c r="I111" s="549"/>
    </row>
    <row r="112" spans="1:10" ht="3" customHeight="1">
      <c r="D112" s="604"/>
      <c r="I112" s="549"/>
    </row>
    <row r="113" spans="1:10" ht="12" customHeight="1">
      <c r="A113" s="431" t="s">
        <v>2828</v>
      </c>
      <c r="D113" s="612">
        <v>24</v>
      </c>
      <c r="E113" s="549" t="s">
        <v>2829</v>
      </c>
      <c r="I113" s="549"/>
    </row>
    <row r="114" spans="1:10" ht="12" customHeight="1">
      <c r="C114" s="602" t="s">
        <v>4064</v>
      </c>
      <c r="I114" s="549"/>
    </row>
    <row r="115" spans="1:10" ht="12" customHeight="1">
      <c r="C115" s="602" t="s">
        <v>4065</v>
      </c>
      <c r="G115" s="549"/>
      <c r="I115" s="549"/>
    </row>
    <row r="116" spans="1:10" ht="3" customHeight="1">
      <c r="G116" s="549"/>
      <c r="H116" s="549"/>
      <c r="I116" s="549"/>
    </row>
    <row r="117" spans="1:10" ht="12" customHeight="1">
      <c r="A117" s="431" t="s">
        <v>2830</v>
      </c>
      <c r="D117" s="618">
        <v>0</v>
      </c>
      <c r="E117" s="619" t="s">
        <v>2831</v>
      </c>
      <c r="I117" s="549"/>
    </row>
    <row r="118" spans="1:10" ht="3" customHeight="1">
      <c r="D118" s="608"/>
      <c r="E118" s="549"/>
      <c r="F118" s="549"/>
      <c r="I118" s="549"/>
    </row>
    <row r="119" spans="1:10" ht="12" customHeight="1">
      <c r="A119" s="431" t="s">
        <v>2832</v>
      </c>
      <c r="C119" s="974" t="s">
        <v>1641</v>
      </c>
      <c r="D119" s="608"/>
      <c r="I119" s="549"/>
    </row>
    <row r="120" spans="1:10" ht="12" customHeight="1">
      <c r="C120" s="549" t="s">
        <v>2833</v>
      </c>
      <c r="D120" s="611"/>
      <c r="E120" s="4687" t="s">
        <v>4066</v>
      </c>
      <c r="F120" s="4687"/>
      <c r="G120" s="4687"/>
      <c r="H120" s="4687"/>
      <c r="I120" s="4687"/>
      <c r="J120" s="4687"/>
    </row>
    <row r="121" spans="1:10" ht="12" customHeight="1">
      <c r="C121" s="549" t="s">
        <v>2834</v>
      </c>
      <c r="D121" s="980"/>
      <c r="E121" s="4687"/>
      <c r="F121" s="4687"/>
      <c r="G121" s="4687"/>
      <c r="H121" s="4687"/>
      <c r="I121" s="4687"/>
      <c r="J121" s="4687"/>
    </row>
    <row r="122" spans="1:10" ht="12" customHeight="1">
      <c r="C122" s="549" t="s">
        <v>2835</v>
      </c>
      <c r="D122" s="980"/>
      <c r="E122" s="4687"/>
      <c r="F122" s="4687"/>
      <c r="G122" s="4687"/>
      <c r="H122" s="4687"/>
      <c r="I122" s="4687"/>
      <c r="J122" s="4687"/>
    </row>
    <row r="123" spans="1:10" ht="12" customHeight="1">
      <c r="C123" s="549" t="s">
        <v>2835</v>
      </c>
      <c r="D123" s="980"/>
      <c r="E123" s="4687"/>
      <c r="F123" s="4687"/>
      <c r="G123" s="4687"/>
      <c r="H123" s="4687"/>
      <c r="I123" s="4687"/>
      <c r="J123" s="4687"/>
    </row>
    <row r="124" spans="1:10" ht="3" customHeight="1">
      <c r="E124" s="549"/>
      <c r="F124" s="549"/>
      <c r="I124" s="549"/>
    </row>
    <row r="125" spans="1:10" ht="12" customHeight="1">
      <c r="A125" s="431" t="s">
        <v>2836</v>
      </c>
      <c r="D125" s="613" t="s">
        <v>2805</v>
      </c>
      <c r="I125" s="549"/>
    </row>
    <row r="126" spans="1:10" ht="3" customHeight="1">
      <c r="D126" s="549"/>
      <c r="I126" s="549"/>
    </row>
    <row r="127" spans="1:10" ht="12" customHeight="1">
      <c r="A127" s="431" t="s">
        <v>2837</v>
      </c>
      <c r="D127" s="549" t="s">
        <v>2805</v>
      </c>
      <c r="I127" s="549"/>
    </row>
    <row r="128" spans="1:10" ht="3" customHeight="1">
      <c r="G128" s="549"/>
      <c r="H128" s="549"/>
      <c r="I128" s="549"/>
    </row>
    <row r="129" spans="1:10" ht="12" customHeight="1">
      <c r="A129" s="431" t="s">
        <v>2838</v>
      </c>
      <c r="D129" s="549" t="s">
        <v>2839</v>
      </c>
      <c r="G129" s="549"/>
      <c r="I129" s="549"/>
    </row>
    <row r="130" spans="1:10" ht="7.5" customHeight="1">
      <c r="G130" s="549"/>
      <c r="H130" s="549"/>
      <c r="I130" s="549"/>
    </row>
    <row r="131" spans="1:10" ht="12" customHeight="1">
      <c r="A131" s="601" t="s">
        <v>2840</v>
      </c>
      <c r="G131" s="549"/>
      <c r="H131" s="549"/>
      <c r="I131" s="549"/>
    </row>
    <row r="132" spans="1:10" ht="12" customHeight="1">
      <c r="A132" s="431" t="s">
        <v>2841</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2842</v>
      </c>
      <c r="C135" s="620">
        <f>('Part III-A-Uses of Funds'!G127-'Part II-Sources of Funds'!I45)/2</f>
        <v>552577</v>
      </c>
      <c r="G135" s="549"/>
      <c r="I135" s="549"/>
    </row>
    <row r="136" spans="1:10" ht="3" customHeight="1">
      <c r="C136" s="549"/>
      <c r="G136" s="549"/>
      <c r="I136" s="549"/>
    </row>
    <row r="137" spans="1:10" ht="12" customHeight="1">
      <c r="A137" s="431" t="s">
        <v>2843</v>
      </c>
      <c r="C137" s="1005" t="s">
        <v>2844</v>
      </c>
      <c r="G137" s="549"/>
      <c r="I137" s="549"/>
    </row>
    <row r="138" spans="1:10" ht="3" customHeight="1">
      <c r="C138" s="602"/>
      <c r="G138" s="549"/>
      <c r="I138" s="549"/>
    </row>
    <row r="139" spans="1:10" ht="12" customHeight="1">
      <c r="A139" s="431" t="s">
        <v>2845</v>
      </c>
      <c r="C139" s="602">
        <f>'Preview term'!E20</f>
        <v>0</v>
      </c>
      <c r="G139" s="549"/>
      <c r="I139" s="549"/>
      <c r="J139" s="621"/>
    </row>
    <row r="140" spans="1:10" ht="3" customHeight="1">
      <c r="C140" s="602"/>
      <c r="G140" s="549"/>
      <c r="I140" s="549"/>
    </row>
    <row r="141" spans="1:10" ht="12" customHeight="1">
      <c r="A141" s="431" t="s">
        <v>2846</v>
      </c>
      <c r="C141" s="602">
        <f>C8</f>
        <v>0</v>
      </c>
      <c r="G141" s="549"/>
      <c r="I141" s="549"/>
    </row>
    <row r="142" spans="1:10" ht="3" customHeight="1">
      <c r="C142" s="602"/>
      <c r="G142" s="549"/>
      <c r="I142" s="549"/>
    </row>
    <row r="143" spans="1:10" ht="12" customHeight="1">
      <c r="A143" s="431" t="s">
        <v>2847</v>
      </c>
      <c r="C143" s="602">
        <f>C18</f>
        <v>0</v>
      </c>
      <c r="G143" s="549"/>
      <c r="I143" s="549"/>
    </row>
    <row r="144" spans="1:10">
      <c r="C144" s="602">
        <f>C19</f>
        <v>0</v>
      </c>
      <c r="G144" s="549"/>
      <c r="I144" s="549"/>
    </row>
    <row r="145" spans="1:10" ht="3" customHeight="1">
      <c r="C145" s="549"/>
      <c r="G145" s="549"/>
      <c r="I145" s="549"/>
    </row>
    <row r="146" spans="1:10" ht="12" customHeight="1">
      <c r="A146" s="431" t="s">
        <v>2848</v>
      </c>
      <c r="C146" s="602">
        <f>'Sensitivity Analysis'!H10</f>
        <v>0</v>
      </c>
      <c r="G146" s="549"/>
      <c r="I146" s="549"/>
      <c r="J146" s="621"/>
    </row>
    <row r="147" spans="1:10" ht="3" customHeight="1">
      <c r="C147" s="602"/>
      <c r="G147" s="549"/>
      <c r="I147" s="549"/>
    </row>
    <row r="148" spans="1:10" ht="12" customHeight="1">
      <c r="A148" s="431" t="s">
        <v>2849</v>
      </c>
      <c r="C148" s="602">
        <f>'Sensitivity Analysis'!K10</f>
        <v>0</v>
      </c>
      <c r="G148" s="549"/>
      <c r="I148" s="549"/>
      <c r="J148" s="621"/>
    </row>
    <row r="149" spans="1:10" ht="3" customHeight="1">
      <c r="C149" s="549"/>
      <c r="G149" s="549"/>
      <c r="I149" s="549"/>
    </row>
    <row r="150" spans="1:10" ht="12" customHeight="1">
      <c r="A150" s="431" t="s">
        <v>2850</v>
      </c>
      <c r="C150" s="549" t="s">
        <v>2805</v>
      </c>
      <c r="G150" s="549"/>
      <c r="I150" s="549"/>
    </row>
    <row r="151" spans="1:10" ht="3" customHeight="1">
      <c r="C151" s="549"/>
      <c r="G151" s="549"/>
      <c r="I151" s="549"/>
    </row>
    <row r="152" spans="1:10" ht="12" customHeight="1">
      <c r="A152" s="431" t="s">
        <v>2851</v>
      </c>
      <c r="C152" s="549" t="s">
        <v>2805</v>
      </c>
      <c r="G152" s="549"/>
      <c r="I152" s="549"/>
    </row>
    <row r="153" spans="1:10" ht="7.5" customHeight="1">
      <c r="G153" s="549"/>
      <c r="H153" s="549"/>
      <c r="I153" s="549"/>
    </row>
    <row r="154" spans="1:10" ht="12" customHeight="1">
      <c r="A154" s="601" t="s">
        <v>2852</v>
      </c>
      <c r="G154" s="549"/>
      <c r="H154" s="549"/>
      <c r="I154" s="549"/>
    </row>
    <row r="155" spans="1:10" ht="3" customHeight="1">
      <c r="D155" s="549"/>
      <c r="E155" s="549"/>
      <c r="G155" s="549"/>
    </row>
    <row r="156" spans="1:10" ht="12" customHeight="1">
      <c r="A156" s="431" t="s">
        <v>2853</v>
      </c>
      <c r="C156" s="549" t="s">
        <v>3031</v>
      </c>
      <c r="D156" s="549"/>
      <c r="G156" s="549"/>
      <c r="H156" s="549"/>
      <c r="I156" s="549"/>
    </row>
    <row r="157" spans="1:10" ht="3" customHeight="1">
      <c r="D157" s="549"/>
      <c r="E157" s="549"/>
      <c r="G157" s="549"/>
    </row>
    <row r="158" spans="1:10" ht="12" customHeight="1">
      <c r="A158" s="431" t="s">
        <v>2854</v>
      </c>
      <c r="D158" s="1005">
        <v>20</v>
      </c>
      <c r="E158" s="549" t="s">
        <v>2212</v>
      </c>
    </row>
    <row r="159" spans="1:10" ht="3" customHeight="1">
      <c r="D159" s="549"/>
      <c r="E159" s="549"/>
      <c r="G159" s="549"/>
    </row>
    <row r="160" spans="1:10" ht="12" customHeight="1">
      <c r="A160" s="431" t="s">
        <v>2855</v>
      </c>
      <c r="C160" s="974" t="str">
        <f>'Part V-Revenues &amp; Expenses'!$G$6</f>
        <v>&lt;Select&gt;</v>
      </c>
      <c r="D160" s="549" t="s">
        <v>3051</v>
      </c>
      <c r="G160" s="549"/>
    </row>
    <row r="161" spans="1:9" ht="3" customHeight="1">
      <c r="G161" s="549"/>
      <c r="H161" s="549"/>
      <c r="I161" s="549"/>
    </row>
    <row r="162" spans="1:9" ht="12" customHeight="1">
      <c r="A162" s="431" t="s">
        <v>2856</v>
      </c>
      <c r="G162" s="549"/>
      <c r="H162" s="549"/>
      <c r="I162" s="549"/>
    </row>
    <row r="163" spans="1:9" ht="7.5" customHeight="1">
      <c r="G163" s="549"/>
      <c r="H163" s="549"/>
      <c r="I163" s="549"/>
    </row>
    <row r="164" spans="1:9" ht="12" customHeight="1">
      <c r="A164" s="601" t="s">
        <v>2857</v>
      </c>
      <c r="G164" s="549"/>
      <c r="H164" s="549"/>
      <c r="I164" s="549"/>
    </row>
    <row r="165" spans="1:9" ht="12" customHeight="1">
      <c r="A165" s="431" t="s">
        <v>2898</v>
      </c>
      <c r="C165" s="431" t="s">
        <v>2899</v>
      </c>
      <c r="E165" s="614">
        <f>'Preview term'!F80</f>
        <v>0</v>
      </c>
      <c r="G165" s="549"/>
      <c r="I165" s="549"/>
    </row>
    <row r="166" spans="1:9" ht="12" customHeight="1">
      <c r="C166" s="431" t="s">
        <v>3032</v>
      </c>
      <c r="E166" s="4688"/>
      <c r="F166" s="4688"/>
      <c r="G166" s="4688"/>
      <c r="I166" s="549"/>
    </row>
    <row r="167" spans="1:9" ht="3" customHeight="1">
      <c r="E167" s="549"/>
      <c r="G167" s="549"/>
      <c r="I167" s="549"/>
    </row>
    <row r="168" spans="1:9" ht="12" customHeight="1">
      <c r="A168" s="431" t="s">
        <v>2858</v>
      </c>
      <c r="C168" s="431" t="s">
        <v>2859</v>
      </c>
      <c r="E168" s="620">
        <f>'Preview term'!F74</f>
        <v>254890</v>
      </c>
      <c r="G168" s="549"/>
      <c r="I168" s="549"/>
    </row>
    <row r="169" spans="1:9" ht="12" customHeight="1">
      <c r="C169" s="431" t="s">
        <v>3032</v>
      </c>
      <c r="E169" s="4688"/>
      <c r="F169" s="4688"/>
      <c r="G169" s="4688"/>
      <c r="I169" s="549"/>
    </row>
    <row r="170" spans="1:9" ht="12" customHeight="1">
      <c r="C170" s="431" t="s">
        <v>2860</v>
      </c>
      <c r="E170" s="602" t="s">
        <v>2508</v>
      </c>
      <c r="G170" s="549"/>
      <c r="I170" s="549"/>
    </row>
    <row r="171" spans="1:9" ht="3" customHeight="1">
      <c r="E171" s="602"/>
      <c r="G171" s="549"/>
      <c r="I171" s="549"/>
    </row>
    <row r="172" spans="1:9" ht="12" customHeight="1">
      <c r="A172" s="431" t="s">
        <v>2900</v>
      </c>
      <c r="C172" s="431" t="s">
        <v>2901</v>
      </c>
      <c r="E172" s="620">
        <f>'Preview term'!F76</f>
        <v>0</v>
      </c>
      <c r="G172" s="549"/>
      <c r="I172" s="549"/>
    </row>
    <row r="173" spans="1:9" ht="12" customHeight="1">
      <c r="C173" s="431" t="s">
        <v>2861</v>
      </c>
      <c r="E173" s="620">
        <f>'Preview term'!F76</f>
        <v>0</v>
      </c>
      <c r="G173" s="549"/>
      <c r="I173" s="549"/>
    </row>
    <row r="174" spans="1:9" ht="12" customHeight="1">
      <c r="C174" s="431" t="s">
        <v>2862</v>
      </c>
      <c r="E174" s="620">
        <f>'Part V-Revenues &amp; Expenses'!Q238</f>
        <v>15000</v>
      </c>
      <c r="F174" s="549" t="s">
        <v>2863</v>
      </c>
    </row>
    <row r="175" spans="1:9">
      <c r="E175" s="620">
        <f>E174/12</f>
        <v>1250</v>
      </c>
      <c r="F175" s="549" t="s">
        <v>2729</v>
      </c>
    </row>
    <row r="176" spans="1:9" ht="12" customHeight="1">
      <c r="C176" s="431" t="s">
        <v>3033</v>
      </c>
      <c r="E176" s="4688"/>
      <c r="F176" s="4688"/>
      <c r="G176" s="4688"/>
      <c r="I176" s="549"/>
    </row>
    <row r="177" spans="1:10" ht="12" customHeight="1">
      <c r="C177" s="431" t="s">
        <v>2864</v>
      </c>
      <c r="E177" s="549" t="s">
        <v>2642</v>
      </c>
      <c r="I177" s="549"/>
    </row>
    <row r="178" spans="1:10" ht="12" customHeight="1">
      <c r="C178" s="431" t="s">
        <v>2865</v>
      </c>
      <c r="E178" s="549" t="s">
        <v>2508</v>
      </c>
      <c r="I178" s="549"/>
    </row>
    <row r="179" spans="1:10" ht="3" customHeight="1">
      <c r="E179" s="549"/>
      <c r="F179" s="549"/>
      <c r="I179" s="549"/>
    </row>
    <row r="180" spans="1:10" ht="12" customHeight="1">
      <c r="A180" s="431" t="s">
        <v>2896</v>
      </c>
      <c r="C180" s="431" t="s">
        <v>2897</v>
      </c>
      <c r="E180" s="614" t="s">
        <v>1641</v>
      </c>
      <c r="I180" s="549"/>
    </row>
    <row r="181" spans="1:10" ht="12" customHeight="1">
      <c r="C181" s="431" t="s">
        <v>2866</v>
      </c>
      <c r="E181" s="614" t="s">
        <v>1641</v>
      </c>
      <c r="F181" s="4688"/>
      <c r="G181" s="4688"/>
      <c r="H181" s="4688"/>
      <c r="I181" s="4688"/>
      <c r="J181" s="4688"/>
    </row>
    <row r="182" spans="1:10" ht="12" customHeight="1">
      <c r="C182" s="431" t="s">
        <v>3034</v>
      </c>
      <c r="E182" s="549" t="s">
        <v>2805</v>
      </c>
      <c r="I182" s="549"/>
    </row>
    <row r="183" spans="1:10" ht="12" customHeight="1">
      <c r="C183" s="431" t="s">
        <v>2867</v>
      </c>
      <c r="E183" s="549" t="s">
        <v>2508</v>
      </c>
      <c r="I183" s="549"/>
    </row>
    <row r="184" spans="1:10" ht="3" customHeight="1">
      <c r="G184" s="549"/>
      <c r="H184" s="549"/>
      <c r="I184" s="549"/>
    </row>
    <row r="185" spans="1:10" ht="12" customHeight="1">
      <c r="A185" s="431" t="s">
        <v>2902</v>
      </c>
      <c r="C185" s="431" t="s">
        <v>2903</v>
      </c>
      <c r="E185" s="620">
        <f>'Preview term'!F78</f>
        <v>79037</v>
      </c>
      <c r="G185" s="549"/>
      <c r="I185" s="549"/>
    </row>
    <row r="186" spans="1:10" ht="12" customHeight="1">
      <c r="C186" s="431" t="s">
        <v>3032</v>
      </c>
      <c r="E186" s="602">
        <f>E169</f>
        <v>0</v>
      </c>
      <c r="G186" s="549"/>
      <c r="I186" s="549"/>
    </row>
    <row r="187" spans="1:10" ht="12" customHeight="1">
      <c r="C187" s="431" t="s">
        <v>2868</v>
      </c>
      <c r="E187" s="602" t="s">
        <v>2805</v>
      </c>
      <c r="G187" s="549"/>
      <c r="I187" s="549"/>
    </row>
    <row r="188" spans="1:10" ht="3" customHeight="1">
      <c r="E188" s="602"/>
      <c r="G188" s="549"/>
      <c r="I188" s="549"/>
    </row>
    <row r="189" spans="1:10" ht="12" customHeight="1">
      <c r="A189" s="431" t="s">
        <v>2904</v>
      </c>
      <c r="C189" s="431" t="s">
        <v>2905</v>
      </c>
      <c r="E189" s="602" t="s">
        <v>2805</v>
      </c>
      <c r="G189" s="549"/>
      <c r="I189" s="549"/>
    </row>
    <row r="190" spans="1:10" ht="12" customHeight="1">
      <c r="C190" s="431" t="s">
        <v>2859</v>
      </c>
      <c r="E190" s="608"/>
      <c r="G190" s="549"/>
      <c r="H190" s="613"/>
      <c r="I190" s="549"/>
    </row>
    <row r="191" spans="1:10" ht="12" customHeight="1">
      <c r="C191" s="431" t="s">
        <v>3032</v>
      </c>
      <c r="E191" s="608"/>
      <c r="I191" s="602"/>
    </row>
    <row r="192" spans="1:10" ht="12" customHeight="1">
      <c r="C192" s="431" t="s">
        <v>2860</v>
      </c>
      <c r="E192" s="608"/>
      <c r="G192" s="549"/>
      <c r="H192" s="549"/>
      <c r="I192" s="549"/>
    </row>
    <row r="193" spans="1:10" ht="9" customHeight="1">
      <c r="G193" s="549"/>
      <c r="H193" s="549"/>
      <c r="I193" s="549"/>
    </row>
    <row r="194" spans="1:10" ht="12" customHeight="1">
      <c r="A194" s="601" t="s">
        <v>2869</v>
      </c>
      <c r="C194" s="549" t="s">
        <v>2870</v>
      </c>
      <c r="E194" s="549"/>
      <c r="I194" s="549"/>
    </row>
    <row r="195" spans="1:10" ht="9" customHeight="1">
      <c r="E195" s="549"/>
      <c r="F195" s="549"/>
      <c r="I195" s="549"/>
    </row>
    <row r="196" spans="1:10" ht="12" customHeight="1">
      <c r="A196" s="601" t="s">
        <v>2871</v>
      </c>
      <c r="E196" s="549"/>
      <c r="F196" s="549"/>
      <c r="I196" s="549"/>
    </row>
    <row r="197" spans="1:10" ht="12" customHeight="1">
      <c r="A197" s="431" t="s">
        <v>2872</v>
      </c>
      <c r="C197" s="970" t="s">
        <v>1641</v>
      </c>
      <c r="E197" s="549"/>
      <c r="F197" s="549"/>
      <c r="I197" s="549"/>
    </row>
    <row r="198" spans="1:10" ht="3" customHeight="1">
      <c r="G198" s="549"/>
      <c r="H198" s="549"/>
      <c r="I198" s="549"/>
    </row>
    <row r="199" spans="1:10">
      <c r="A199" s="605" t="s">
        <v>3036</v>
      </c>
      <c r="B199" s="605"/>
      <c r="C199" s="605"/>
      <c r="D199" s="605"/>
      <c r="E199" s="607" t="s">
        <v>3035</v>
      </c>
      <c r="F199" s="4686">
        <f>'Part VII-Threshold Criteria OLD'!E372</f>
        <v>0</v>
      </c>
      <c r="G199" s="4686"/>
      <c r="H199" s="4686"/>
      <c r="I199" s="4686"/>
      <c r="J199" s="4686"/>
    </row>
    <row r="200" spans="1:10" ht="9" customHeight="1">
      <c r="G200" s="549"/>
      <c r="H200" s="549"/>
      <c r="I200" s="549"/>
    </row>
    <row r="201" spans="1:10" ht="12" customHeight="1">
      <c r="A201" s="622" t="s">
        <v>2895</v>
      </c>
      <c r="G201" s="549"/>
      <c r="H201" s="549"/>
      <c r="I201" s="613"/>
    </row>
    <row r="202" spans="1:10" ht="25.5" hidden="1" customHeight="1">
      <c r="A202" s="4691" t="str">
        <f>'Subsidy Layering Memo'!A105</f>
        <v>Include any reserve requirements; explain any reserves far in excess of 6 month ODR, 3 mo lease up, 1 year RR, 6 mo T&amp;I standards.</v>
      </c>
      <c r="B202" s="4691"/>
      <c r="C202" s="4691"/>
      <c r="D202" s="4691"/>
      <c r="E202" s="4691"/>
      <c r="F202" s="4691"/>
      <c r="G202" s="4691"/>
      <c r="H202" s="4691"/>
      <c r="I202" s="4691"/>
      <c r="J202" s="4691"/>
    </row>
    <row r="203" spans="1:10">
      <c r="A203" s="549"/>
      <c r="G203" s="549"/>
      <c r="H203" s="549"/>
      <c r="I203" s="549"/>
    </row>
    <row r="204" spans="1:10" s="513" customFormat="1" ht="15">
      <c r="A204" s="519" t="s">
        <v>4053</v>
      </c>
    </row>
    <row r="205" spans="1:10" s="513" customFormat="1" ht="14.25" customHeight="1">
      <c r="A205" s="46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9"/>
      <c r="C205" s="4649"/>
      <c r="D205" s="4649"/>
      <c r="E205" s="4649"/>
      <c r="F205" s="4649"/>
      <c r="G205" s="4649"/>
      <c r="H205" s="4649"/>
      <c r="I205" s="4649"/>
      <c r="J205" s="4649"/>
    </row>
    <row r="206" spans="1:10" s="513" customFormat="1" ht="14.25" customHeight="1">
      <c r="A206" s="4649"/>
      <c r="B206" s="4649"/>
      <c r="C206" s="4649"/>
      <c r="D206" s="4649"/>
      <c r="E206" s="4649"/>
      <c r="F206" s="4649"/>
      <c r="G206" s="4649"/>
      <c r="H206" s="4649"/>
      <c r="I206" s="4649"/>
      <c r="J206" s="4649"/>
    </row>
    <row r="207" spans="1:10" s="513" customFormat="1" ht="6.75" customHeight="1">
      <c r="A207" s="4649"/>
      <c r="B207" s="4649"/>
      <c r="C207" s="4649"/>
      <c r="D207" s="4649"/>
      <c r="E207" s="4649"/>
      <c r="F207" s="4649"/>
      <c r="G207" s="4649"/>
      <c r="H207" s="4649"/>
      <c r="I207" s="4649"/>
      <c r="J207" s="4649"/>
    </row>
    <row r="208" spans="1:10" s="513" customFormat="1" ht="21.75" customHeight="1">
      <c r="A208" s="4649"/>
      <c r="B208" s="4649"/>
      <c r="C208" s="4649"/>
      <c r="D208" s="4649"/>
      <c r="E208" s="4649"/>
      <c r="F208" s="4649"/>
      <c r="G208" s="4649"/>
      <c r="H208" s="4649"/>
      <c r="I208" s="4649"/>
      <c r="J208" s="4649"/>
    </row>
    <row r="209" spans="1:10" s="513" customFormat="1" ht="20.25" customHeight="1">
      <c r="A209" s="4649"/>
      <c r="B209" s="4649"/>
      <c r="C209" s="4649"/>
      <c r="D209" s="4649"/>
      <c r="E209" s="4649"/>
      <c r="F209" s="4649"/>
      <c r="G209" s="4649"/>
      <c r="H209" s="4649"/>
      <c r="I209" s="4649"/>
      <c r="J209" s="4649"/>
    </row>
    <row r="210" spans="1:10" s="513" customFormat="1" ht="54.75" customHeight="1">
      <c r="A210" s="4649"/>
      <c r="B210" s="4649"/>
      <c r="C210" s="4649"/>
      <c r="D210" s="4649"/>
      <c r="E210" s="4649"/>
      <c r="F210" s="4649"/>
      <c r="G210" s="4649"/>
      <c r="H210" s="4649"/>
      <c r="I210" s="4649"/>
      <c r="J210" s="4649"/>
    </row>
    <row r="211" spans="1:10" s="513" customFormat="1" ht="0.75" hidden="1" customHeight="1">
      <c r="A211" s="4649"/>
      <c r="B211" s="4649"/>
      <c r="C211" s="4649"/>
      <c r="D211" s="4649"/>
      <c r="E211" s="4649"/>
      <c r="F211" s="4649"/>
      <c r="G211" s="4649"/>
      <c r="H211" s="4649"/>
      <c r="I211" s="4649"/>
      <c r="J211" s="4649"/>
    </row>
    <row r="212" spans="1:10" s="513" customFormat="1" ht="3.75" hidden="1" customHeight="1">
      <c r="A212" s="4649"/>
      <c r="B212" s="4649"/>
      <c r="C212" s="4649"/>
      <c r="D212" s="4649"/>
      <c r="E212" s="4649"/>
      <c r="F212" s="4649"/>
      <c r="G212" s="4649"/>
      <c r="H212" s="4649"/>
      <c r="I212" s="4649"/>
      <c r="J212" s="4649"/>
    </row>
    <row r="213" spans="1:10" s="513" customFormat="1" ht="5.25" customHeight="1">
      <c r="A213" s="1192"/>
      <c r="B213" s="1192"/>
      <c r="C213" s="1192"/>
      <c r="D213" s="1192"/>
      <c r="E213" s="1192"/>
      <c r="F213" s="1192"/>
      <c r="G213" s="1192"/>
      <c r="H213" s="1192"/>
      <c r="I213" s="1192"/>
      <c r="J213" s="1192"/>
    </row>
    <row r="214" spans="1:10" s="513" customFormat="1" ht="19.5" customHeight="1">
      <c r="A214" s="4648" t="s">
        <v>4056</v>
      </c>
      <c r="B214" s="4648"/>
      <c r="C214" s="4648"/>
      <c r="D214" s="1190"/>
      <c r="E214" s="1190"/>
      <c r="F214" s="1190"/>
      <c r="G214" s="1190"/>
      <c r="H214" s="1190"/>
      <c r="I214" s="1190"/>
      <c r="J214" s="1190"/>
    </row>
    <row r="215" spans="1:10" s="513" customFormat="1" ht="22.5" customHeight="1">
      <c r="A215" s="4645" t="str">
        <f>'Subsidy Layering Memo'!A37</f>
        <v>1)</v>
      </c>
      <c r="B215" s="4645"/>
      <c r="C215" s="4645"/>
      <c r="D215" s="4645"/>
      <c r="E215" s="4645"/>
      <c r="F215" s="4645"/>
      <c r="G215" s="4645"/>
      <c r="H215" s="4645"/>
      <c r="I215" s="4645"/>
      <c r="J215" s="4645"/>
    </row>
    <row r="216" spans="1:10" s="513" customFormat="1" ht="22.5" customHeight="1">
      <c r="A216" s="4645" t="str">
        <f>'Subsidy Layering Memo'!A38</f>
        <v>2)</v>
      </c>
      <c r="B216" s="4645"/>
      <c r="C216" s="4645"/>
      <c r="D216" s="4645"/>
      <c r="E216" s="4645"/>
      <c r="F216" s="4645"/>
      <c r="G216" s="4645"/>
      <c r="H216" s="4645"/>
      <c r="I216" s="4645"/>
      <c r="J216" s="4645"/>
    </row>
    <row r="217" spans="1:10" s="513" customFormat="1" ht="22.5" customHeight="1">
      <c r="A217" s="4645" t="str">
        <f>'Subsidy Layering Memo'!A39</f>
        <v>3)</v>
      </c>
      <c r="B217" s="4645"/>
      <c r="C217" s="4645"/>
      <c r="D217" s="4645"/>
      <c r="E217" s="4645"/>
      <c r="F217" s="4645"/>
      <c r="G217" s="4645"/>
      <c r="H217" s="4645"/>
      <c r="I217" s="4645"/>
      <c r="J217" s="4645"/>
    </row>
    <row r="218" spans="1:10" s="513" customFormat="1" ht="22.5" customHeight="1">
      <c r="A218" s="4645" t="str">
        <f>'Subsidy Layering Memo'!A40</f>
        <v>4)</v>
      </c>
      <c r="B218" s="4645"/>
      <c r="C218" s="4645"/>
      <c r="D218" s="4645"/>
      <c r="E218" s="4645"/>
      <c r="F218" s="4645"/>
      <c r="G218" s="4645"/>
      <c r="H218" s="4645"/>
      <c r="I218" s="4645"/>
      <c r="J218" s="4645"/>
    </row>
    <row r="219" spans="1:10" s="513" customFormat="1" ht="22.5" customHeight="1">
      <c r="A219" s="4645" t="str">
        <f>'Subsidy Layering Memo'!A41</f>
        <v>5)</v>
      </c>
      <c r="B219" s="4645"/>
      <c r="C219" s="4645"/>
      <c r="D219" s="4645"/>
      <c r="E219" s="4645"/>
      <c r="F219" s="4645"/>
      <c r="G219" s="4645"/>
      <c r="H219" s="4645"/>
      <c r="I219" s="4645"/>
      <c r="J219" s="4645"/>
    </row>
    <row r="220" spans="1:10" s="513" customFormat="1" ht="22.5" customHeight="1">
      <c r="A220" s="4645" t="str">
        <f>'Subsidy Layering Memo'!A42</f>
        <v>6)</v>
      </c>
      <c r="B220" s="4645"/>
      <c r="C220" s="4645"/>
      <c r="D220" s="4645"/>
      <c r="E220" s="4645"/>
      <c r="F220" s="4645"/>
      <c r="G220" s="4645"/>
      <c r="H220" s="4645"/>
      <c r="I220" s="4645"/>
      <c r="J220" s="4645"/>
    </row>
    <row r="221" spans="1:10" s="513" customFormat="1" ht="22.5" customHeight="1">
      <c r="A221" s="4645" t="str">
        <f>'Subsidy Layering Memo'!A43</f>
        <v>7)</v>
      </c>
      <c r="B221" s="4645"/>
      <c r="C221" s="4645"/>
      <c r="D221" s="4645"/>
      <c r="E221" s="4645"/>
      <c r="F221" s="4645"/>
      <c r="G221" s="4645"/>
      <c r="H221" s="4645"/>
      <c r="I221" s="4645"/>
      <c r="J221" s="4645"/>
    </row>
    <row r="222" spans="1:10" s="513" customFormat="1" ht="22.5" customHeight="1">
      <c r="A222" s="4645" t="str">
        <f>'Subsidy Layering Memo'!A44</f>
        <v>8)</v>
      </c>
      <c r="B222" s="4645"/>
      <c r="C222" s="4645"/>
      <c r="D222" s="4645"/>
      <c r="E222" s="4645"/>
      <c r="F222" s="4645"/>
      <c r="G222" s="4645"/>
      <c r="H222" s="4645"/>
      <c r="I222" s="4645"/>
      <c r="J222" s="4645"/>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3836</v>
      </c>
      <c r="B1" s="1311"/>
      <c r="C1" s="1311"/>
      <c r="D1" s="1311"/>
      <c r="E1" s="1311"/>
      <c r="F1" s="1311"/>
      <c r="G1" s="1311"/>
      <c r="H1" s="1311"/>
    </row>
    <row r="2" spans="1:11" ht="19.5" thickBot="1">
      <c r="A2" s="1311" t="s">
        <v>3837</v>
      </c>
      <c r="B2" s="1311"/>
      <c r="C2" s="1311"/>
      <c r="D2" s="1311"/>
      <c r="E2" s="1311"/>
      <c r="F2" s="1311"/>
      <c r="G2" s="1311"/>
      <c r="H2" s="1311"/>
    </row>
    <row r="3" spans="1:11" ht="15" customHeight="1" thickBot="1">
      <c r="A3" s="1265" t="s">
        <v>3838</v>
      </c>
      <c r="B3" s="1266"/>
      <c r="C3" s="1267"/>
      <c r="D3" s="4077" t="str">
        <f>'Part I-Project Identification'!F26</f>
        <v>Lewis Crossing</v>
      </c>
      <c r="E3" s="4078"/>
      <c r="F3" s="4078"/>
      <c r="G3" s="4078"/>
      <c r="H3" s="4078"/>
      <c r="I3" s="4078"/>
      <c r="J3" s="4727" t="s">
        <v>3841</v>
      </c>
      <c r="K3" s="4728"/>
    </row>
    <row r="4" spans="1:11" ht="15" customHeight="1">
      <c r="A4" s="1269" t="s">
        <v>3839</v>
      </c>
      <c r="B4" s="1270"/>
      <c r="C4" s="1271"/>
      <c r="D4" s="4723">
        <f>'Preview term'!$E$16</f>
        <v>0</v>
      </c>
      <c r="E4" s="4724"/>
      <c r="F4" s="4724"/>
      <c r="G4" s="4724"/>
      <c r="H4" s="4724"/>
      <c r="I4" s="4724"/>
      <c r="J4" s="4083" t="s">
        <v>3880</v>
      </c>
      <c r="K4" s="4084"/>
    </row>
    <row r="5" spans="1:11" ht="15" customHeight="1" thickBot="1">
      <c r="A5" s="1272" t="s">
        <v>3840</v>
      </c>
      <c r="B5" s="1273"/>
      <c r="C5" s="1274"/>
      <c r="D5" s="4725"/>
      <c r="E5" s="4726"/>
      <c r="F5" s="4726"/>
      <c r="G5" s="4726"/>
      <c r="H5" s="4726"/>
      <c r="I5" s="4726"/>
      <c r="J5" s="4085"/>
      <c r="K5" s="4086"/>
    </row>
    <row r="6" spans="1:11" ht="9" customHeight="1" thickBot="1">
      <c r="E6" s="1264"/>
    </row>
    <row r="7" spans="1:11">
      <c r="A7" s="4071" t="s">
        <v>3842</v>
      </c>
      <c r="B7" s="4072"/>
      <c r="C7" s="4072"/>
      <c r="D7" s="4072"/>
      <c r="E7" s="4072"/>
      <c r="F7" s="4072"/>
      <c r="G7" s="4072"/>
      <c r="H7" s="4072"/>
      <c r="I7" s="4072"/>
      <c r="J7" s="4072"/>
      <c r="K7" s="4073"/>
    </row>
    <row r="8" spans="1:11" ht="14.25" customHeight="1">
      <c r="A8" s="1270"/>
      <c r="B8" s="1270"/>
      <c r="C8" s="1302">
        <v>1</v>
      </c>
      <c r="D8" s="1289" t="s">
        <v>3843</v>
      </c>
      <c r="E8" s="1289"/>
      <c r="F8" s="1289"/>
      <c r="G8" s="1289"/>
      <c r="H8" s="1289"/>
      <c r="I8" s="1289"/>
      <c r="J8" s="4704"/>
      <c r="K8" s="4705"/>
    </row>
    <row r="9" spans="1:11" ht="7.15" customHeight="1">
      <c r="A9" s="4067"/>
      <c r="B9" s="4067"/>
      <c r="C9" s="4067"/>
      <c r="D9" s="4068"/>
      <c r="E9" s="4068"/>
      <c r="F9" s="4068"/>
      <c r="G9" s="4068"/>
      <c r="H9" s="4068"/>
      <c r="I9" s="4068"/>
      <c r="J9" s="4068"/>
      <c r="K9" s="1290"/>
    </row>
    <row r="10" spans="1:11">
      <c r="A10" s="4093" t="s">
        <v>3844</v>
      </c>
      <c r="B10" s="4094"/>
      <c r="C10" s="4094"/>
      <c r="D10" s="4094"/>
      <c r="E10" s="4094"/>
      <c r="F10" s="4094"/>
      <c r="G10" s="4094"/>
      <c r="H10" s="4094"/>
      <c r="I10" s="4094"/>
      <c r="J10" s="4094"/>
      <c r="K10" s="4095"/>
    </row>
    <row r="11" spans="1:11" ht="14.25" customHeight="1">
      <c r="A11" s="1270"/>
      <c r="B11" s="1270"/>
      <c r="C11" s="1302">
        <v>2</v>
      </c>
      <c r="D11" s="1289" t="s">
        <v>3845</v>
      </c>
      <c r="E11" s="1291"/>
      <c r="F11" s="1291"/>
      <c r="G11" s="1291"/>
      <c r="H11" s="1291"/>
      <c r="I11" s="1291"/>
      <c r="J11" s="4702"/>
      <c r="K11" s="4703"/>
    </row>
    <row r="12" spans="1:11" ht="7.15" customHeight="1">
      <c r="A12" s="4067"/>
      <c r="B12" s="4067"/>
      <c r="C12" s="4067"/>
      <c r="D12" s="4068"/>
      <c r="E12" s="4068"/>
      <c r="F12" s="4068"/>
      <c r="G12" s="4068"/>
      <c r="H12" s="4068"/>
      <c r="I12" s="4068"/>
      <c r="J12" s="4068"/>
      <c r="K12" s="1292"/>
    </row>
    <row r="13" spans="1:11">
      <c r="A13" s="4093" t="s">
        <v>3846</v>
      </c>
      <c r="B13" s="4094"/>
      <c r="C13" s="4094"/>
      <c r="D13" s="4094"/>
      <c r="E13" s="4094"/>
      <c r="F13" s="4094"/>
      <c r="G13" s="4094"/>
      <c r="H13" s="4094"/>
      <c r="I13" s="4094"/>
      <c r="J13" s="4094"/>
      <c r="K13" s="4095"/>
    </row>
    <row r="14" spans="1:11" ht="14.25" customHeight="1">
      <c r="A14" s="1270"/>
      <c r="B14" s="1270"/>
      <c r="C14" s="1303">
        <v>3</v>
      </c>
      <c r="D14" s="1293" t="s">
        <v>3847</v>
      </c>
      <c r="E14" s="1293"/>
      <c r="F14" s="1293"/>
      <c r="G14" s="1293"/>
      <c r="H14" s="1293"/>
      <c r="I14" s="1293"/>
      <c r="J14" s="4700"/>
      <c r="K14" s="4701"/>
    </row>
    <row r="15" spans="1:11" ht="14.25" customHeight="1">
      <c r="A15" s="1270"/>
      <c r="B15" s="1270"/>
      <c r="C15" s="1304">
        <v>4</v>
      </c>
      <c r="D15" s="1270" t="s">
        <v>3848</v>
      </c>
      <c r="E15" s="1270"/>
      <c r="F15" s="1270"/>
      <c r="G15" s="1270"/>
      <c r="H15" s="1270"/>
      <c r="I15" s="1270"/>
      <c r="J15" s="4698"/>
      <c r="K15" s="4699"/>
    </row>
    <row r="16" spans="1:11" ht="14.25" customHeight="1">
      <c r="A16" s="1270"/>
      <c r="B16" s="1270"/>
      <c r="C16" s="1304">
        <v>5</v>
      </c>
      <c r="D16" s="1270" t="s">
        <v>3849</v>
      </c>
      <c r="E16" s="1270"/>
      <c r="F16" s="1270"/>
      <c r="G16" s="1270"/>
      <c r="H16" s="1270"/>
      <c r="I16" s="1270"/>
      <c r="J16" s="4698"/>
      <c r="K16" s="4699"/>
    </row>
    <row r="17" spans="1:13" ht="14.25" customHeight="1">
      <c r="A17" s="1270"/>
      <c r="B17" s="1270"/>
      <c r="C17" s="1305">
        <v>6</v>
      </c>
      <c r="D17" s="1273" t="s">
        <v>3850</v>
      </c>
      <c r="E17" s="1273"/>
      <c r="F17" s="1273"/>
      <c r="G17" s="1273"/>
      <c r="H17" s="1273"/>
      <c r="I17" s="1273"/>
      <c r="J17" s="4706"/>
      <c r="K17" s="4707"/>
    </row>
    <row r="18" spans="1:13" ht="7.15" customHeight="1">
      <c r="A18" s="4067"/>
      <c r="B18" s="4067"/>
      <c r="C18" s="4067"/>
      <c r="D18" s="4068"/>
      <c r="E18" s="4068"/>
      <c r="F18" s="4068"/>
      <c r="G18" s="4068"/>
      <c r="H18" s="4068"/>
      <c r="I18" s="4068"/>
      <c r="J18" s="4068"/>
      <c r="K18" s="1292"/>
    </row>
    <row r="19" spans="1:13" ht="14.25" customHeight="1">
      <c r="A19" s="1270"/>
      <c r="B19" s="1270"/>
      <c r="C19" s="1303">
        <v>7</v>
      </c>
      <c r="D19" s="1293" t="s">
        <v>3851</v>
      </c>
      <c r="E19" s="1293"/>
      <c r="F19" s="1293"/>
      <c r="G19" s="1293"/>
      <c r="H19" s="1293"/>
      <c r="I19" s="1293"/>
      <c r="J19" s="4089" t="str">
        <f>IF(J17="No",J14-J15,IF(J17="Yes",J14-J15-J16,"Error"))</f>
        <v>Error</v>
      </c>
      <c r="K19" s="4090"/>
    </row>
    <row r="20" spans="1:13" ht="14.25" customHeight="1">
      <c r="A20" s="1270"/>
      <c r="B20" s="1270"/>
      <c r="C20" s="1305">
        <v>8</v>
      </c>
      <c r="D20" s="1273" t="s">
        <v>3852</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302">
        <v>9</v>
      </c>
      <c r="D22" s="1294" t="s">
        <v>3853</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3884</v>
      </c>
      <c r="B30" s="4055"/>
      <c r="C30" s="4055"/>
      <c r="D30" s="4055"/>
      <c r="E30" s="4055"/>
      <c r="F30" s="4055"/>
      <c r="G30" s="4055"/>
      <c r="H30" s="4055"/>
      <c r="I30" s="4055"/>
      <c r="J30" s="4055"/>
      <c r="K30" s="4056"/>
    </row>
    <row r="31" spans="1:13">
      <c r="B31" s="4712" t="s">
        <v>3841</v>
      </c>
      <c r="C31" s="4712"/>
      <c r="D31" s="4712"/>
      <c r="E31" s="4712"/>
      <c r="F31" s="4712"/>
      <c r="G31" s="4058" t="s">
        <v>3855</v>
      </c>
      <c r="H31" s="4059"/>
      <c r="I31" s="4059"/>
      <c r="J31" s="4059"/>
      <c r="K31" s="4060"/>
    </row>
    <row r="32" spans="1:13" ht="56.25" customHeight="1">
      <c r="A32" s="1288"/>
      <c r="B32" s="1306" t="s">
        <v>3883</v>
      </c>
      <c r="C32" s="1307" t="s">
        <v>3879</v>
      </c>
      <c r="D32" s="1307" t="s">
        <v>3878</v>
      </c>
      <c r="E32" s="4061" t="s">
        <v>3999</v>
      </c>
      <c r="F32" s="4062"/>
      <c r="G32" s="1308" t="s">
        <v>3856</v>
      </c>
      <c r="H32" s="1308" t="s">
        <v>3857</v>
      </c>
      <c r="J32" s="1308" t="s">
        <v>3858</v>
      </c>
      <c r="K32" s="1308" t="s">
        <v>3859</v>
      </c>
      <c r="L32" s="4047" t="s">
        <v>3860</v>
      </c>
      <c r="M32" s="4047"/>
    </row>
    <row r="33" spans="2:14" ht="12.75" customHeight="1">
      <c r="B33" s="1409"/>
      <c r="C33" s="1410"/>
      <c r="D33" s="1411"/>
      <c r="E33" s="4721"/>
      <c r="F33" s="4722"/>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12"/>
      <c r="C34" s="1413"/>
      <c r="D34" s="1414"/>
      <c r="E34" s="4710"/>
      <c r="F34" s="4711"/>
      <c r="G34" s="1328" t="e">
        <f t="shared" si="0"/>
        <v>#VALUE!</v>
      </c>
      <c r="H34" s="1329" t="e">
        <f t="shared" ref="H34:H51" si="3">ROUNDUP(G34,0)</f>
        <v>#VALUE!</v>
      </c>
      <c r="I34" s="1326"/>
      <c r="J34" s="1330" t="e">
        <f t="shared" si="1"/>
        <v>#VALUE!</v>
      </c>
      <c r="K34" s="1330" t="e">
        <f t="shared" si="2"/>
        <v>#VALUE!</v>
      </c>
      <c r="L34" s="4047"/>
      <c r="M34" s="4047"/>
    </row>
    <row r="35" spans="2:14" ht="12.75" customHeight="1">
      <c r="B35" s="1412"/>
      <c r="C35" s="1413"/>
      <c r="D35" s="1414"/>
      <c r="E35" s="4710"/>
      <c r="F35" s="4711"/>
      <c r="G35" s="1328" t="e">
        <f t="shared" si="0"/>
        <v>#VALUE!</v>
      </c>
      <c r="H35" s="1329" t="e">
        <f t="shared" si="3"/>
        <v>#VALUE!</v>
      </c>
      <c r="I35" s="1326"/>
      <c r="J35" s="1330" t="e">
        <f t="shared" si="1"/>
        <v>#VALUE!</v>
      </c>
      <c r="K35" s="1330" t="e">
        <f t="shared" si="2"/>
        <v>#VALUE!</v>
      </c>
      <c r="L35" s="4047"/>
      <c r="M35" s="4047"/>
    </row>
    <row r="36" spans="2:14" ht="12.75" customHeight="1">
      <c r="B36" s="1412"/>
      <c r="C36" s="1413"/>
      <c r="D36" s="1414"/>
      <c r="E36" s="4710"/>
      <c r="F36" s="4711"/>
      <c r="G36" s="1328" t="e">
        <f t="shared" si="0"/>
        <v>#VALUE!</v>
      </c>
      <c r="H36" s="1329" t="e">
        <f t="shared" si="3"/>
        <v>#VALUE!</v>
      </c>
      <c r="I36" s="1326"/>
      <c r="J36" s="1330" t="e">
        <f t="shared" si="1"/>
        <v>#VALUE!</v>
      </c>
      <c r="K36" s="1330" t="e">
        <f t="shared" si="2"/>
        <v>#VALUE!</v>
      </c>
      <c r="L36" s="4047"/>
      <c r="M36" s="4047"/>
      <c r="N36" s="1283"/>
    </row>
    <row r="37" spans="2:14" ht="12.75" customHeight="1">
      <c r="B37" s="1412"/>
      <c r="C37" s="1413"/>
      <c r="D37" s="1414"/>
      <c r="E37" s="4710"/>
      <c r="F37" s="4711"/>
      <c r="G37" s="1328" t="e">
        <f t="shared" si="0"/>
        <v>#VALUE!</v>
      </c>
      <c r="H37" s="1329" t="e">
        <f t="shared" si="3"/>
        <v>#VALUE!</v>
      </c>
      <c r="I37" s="1326"/>
      <c r="J37" s="1330" t="e">
        <f t="shared" si="1"/>
        <v>#VALUE!</v>
      </c>
      <c r="K37" s="1330" t="e">
        <f t="shared" si="2"/>
        <v>#VALUE!</v>
      </c>
      <c r="L37" s="4047"/>
      <c r="M37" s="4047"/>
    </row>
    <row r="38" spans="2:14" ht="12.75" customHeight="1">
      <c r="B38" s="1412"/>
      <c r="C38" s="1413"/>
      <c r="D38" s="1414"/>
      <c r="E38" s="4710"/>
      <c r="F38" s="4711"/>
      <c r="G38" s="1328" t="e">
        <f t="shared" si="0"/>
        <v>#VALUE!</v>
      </c>
      <c r="H38" s="1329" t="e">
        <f t="shared" si="3"/>
        <v>#VALUE!</v>
      </c>
      <c r="I38" s="1326"/>
      <c r="J38" s="1330" t="e">
        <f t="shared" si="1"/>
        <v>#VALUE!</v>
      </c>
      <c r="K38" s="1330" t="e">
        <f t="shared" si="2"/>
        <v>#VALUE!</v>
      </c>
      <c r="L38" s="4047"/>
      <c r="M38" s="4047"/>
    </row>
    <row r="39" spans="2:14" ht="12.75" customHeight="1">
      <c r="B39" s="1412"/>
      <c r="C39" s="1413"/>
      <c r="D39" s="1414"/>
      <c r="E39" s="4710"/>
      <c r="F39" s="4711"/>
      <c r="G39" s="1328" t="e">
        <f t="shared" si="0"/>
        <v>#VALUE!</v>
      </c>
      <c r="H39" s="1329" t="e">
        <f t="shared" si="3"/>
        <v>#VALUE!</v>
      </c>
      <c r="I39" s="1326"/>
      <c r="J39" s="1330" t="e">
        <f t="shared" si="1"/>
        <v>#VALUE!</v>
      </c>
      <c r="K39" s="1330" t="e">
        <f t="shared" si="2"/>
        <v>#VALUE!</v>
      </c>
      <c r="L39" s="4047"/>
      <c r="M39" s="4047"/>
    </row>
    <row r="40" spans="2:14" ht="12.75" customHeight="1">
      <c r="B40" s="1412"/>
      <c r="C40" s="1413"/>
      <c r="D40" s="1414"/>
      <c r="E40" s="4710"/>
      <c r="F40" s="4711"/>
      <c r="G40" s="1328" t="e">
        <f t="shared" si="0"/>
        <v>#VALUE!</v>
      </c>
      <c r="H40" s="1329" t="e">
        <f t="shared" si="3"/>
        <v>#VALUE!</v>
      </c>
      <c r="I40" s="1326"/>
      <c r="J40" s="1330" t="e">
        <f t="shared" si="1"/>
        <v>#VALUE!</v>
      </c>
      <c r="K40" s="1330" t="e">
        <f t="shared" si="2"/>
        <v>#VALUE!</v>
      </c>
      <c r="L40" s="4047"/>
      <c r="M40" s="4047"/>
    </row>
    <row r="41" spans="2:14" ht="12.75" customHeight="1">
      <c r="B41" s="1412"/>
      <c r="C41" s="1413"/>
      <c r="D41" s="1414"/>
      <c r="E41" s="4710"/>
      <c r="F41" s="4711"/>
      <c r="G41" s="1328" t="e">
        <f t="shared" si="0"/>
        <v>#VALUE!</v>
      </c>
      <c r="H41" s="1329" t="e">
        <f t="shared" si="3"/>
        <v>#VALUE!</v>
      </c>
      <c r="I41" s="1326"/>
      <c r="J41" s="1330" t="e">
        <f t="shared" si="1"/>
        <v>#VALUE!</v>
      </c>
      <c r="K41" s="1330" t="e">
        <f t="shared" si="2"/>
        <v>#VALUE!</v>
      </c>
      <c r="L41" s="4047"/>
      <c r="M41" s="4047"/>
    </row>
    <row r="42" spans="2:14" ht="12.75" customHeight="1">
      <c r="B42" s="1412"/>
      <c r="C42" s="1413"/>
      <c r="D42" s="1414"/>
      <c r="E42" s="4710"/>
      <c r="F42" s="4711"/>
      <c r="G42" s="1328" t="e">
        <f t="shared" si="0"/>
        <v>#VALUE!</v>
      </c>
      <c r="H42" s="1329" t="e">
        <f>ROUNDUP(G42,0)</f>
        <v>#VALUE!</v>
      </c>
      <c r="I42" s="1326"/>
      <c r="J42" s="1330" t="e">
        <f t="shared" si="1"/>
        <v>#VALUE!</v>
      </c>
      <c r="K42" s="1330" t="e">
        <f t="shared" si="2"/>
        <v>#VALUE!</v>
      </c>
      <c r="L42" s="4047"/>
      <c r="M42" s="4047"/>
    </row>
    <row r="43" spans="2:14" ht="12.75" customHeight="1">
      <c r="B43" s="1412"/>
      <c r="C43" s="1413"/>
      <c r="D43" s="1414"/>
      <c r="E43" s="4710"/>
      <c r="F43" s="4711"/>
      <c r="G43" s="1328" t="e">
        <f t="shared" si="0"/>
        <v>#VALUE!</v>
      </c>
      <c r="H43" s="1329" t="e">
        <f>ROUNDUP(G43,0)</f>
        <v>#VALUE!</v>
      </c>
      <c r="I43" s="1326"/>
      <c r="J43" s="1330" t="e">
        <f t="shared" si="1"/>
        <v>#VALUE!</v>
      </c>
      <c r="K43" s="1330" t="e">
        <f t="shared" si="2"/>
        <v>#VALUE!</v>
      </c>
      <c r="L43" s="4047"/>
      <c r="M43" s="4047"/>
    </row>
    <row r="44" spans="2:14" ht="12.75" customHeight="1">
      <c r="B44" s="1412"/>
      <c r="C44" s="1413"/>
      <c r="D44" s="1414"/>
      <c r="E44" s="4710"/>
      <c r="F44" s="4711"/>
      <c r="G44" s="1328" t="e">
        <f t="shared" si="0"/>
        <v>#VALUE!</v>
      </c>
      <c r="H44" s="1329" t="e">
        <f>ROUNDUP(G44,0)</f>
        <v>#VALUE!</v>
      </c>
      <c r="I44" s="1326"/>
      <c r="J44" s="1330" t="e">
        <f t="shared" si="1"/>
        <v>#VALUE!</v>
      </c>
      <c r="K44" s="1330" t="e">
        <f t="shared" si="2"/>
        <v>#VALUE!</v>
      </c>
      <c r="L44" s="4047"/>
      <c r="M44" s="4047"/>
    </row>
    <row r="45" spans="2:14" ht="12.75" customHeight="1">
      <c r="B45" s="1412"/>
      <c r="C45" s="1413"/>
      <c r="D45" s="1414"/>
      <c r="E45" s="4710"/>
      <c r="F45" s="4711"/>
      <c r="G45" s="1328" t="e">
        <f t="shared" si="0"/>
        <v>#VALUE!</v>
      </c>
      <c r="H45" s="1329" t="e">
        <f>ROUNDUP(G45,0)</f>
        <v>#VALUE!</v>
      </c>
      <c r="I45" s="1326"/>
      <c r="J45" s="1330" t="e">
        <f t="shared" si="1"/>
        <v>#VALUE!</v>
      </c>
      <c r="K45" s="1330" t="e">
        <f t="shared" si="2"/>
        <v>#VALUE!</v>
      </c>
      <c r="L45" s="4047"/>
      <c r="M45" s="4047"/>
    </row>
    <row r="46" spans="2:14" ht="12.75" customHeight="1">
      <c r="B46" s="1412"/>
      <c r="C46" s="1413"/>
      <c r="D46" s="1414"/>
      <c r="E46" s="4710"/>
      <c r="F46" s="4711"/>
      <c r="G46" s="1328" t="e">
        <f t="shared" si="0"/>
        <v>#VALUE!</v>
      </c>
      <c r="H46" s="1329" t="e">
        <f t="shared" si="3"/>
        <v>#VALUE!</v>
      </c>
      <c r="I46" s="1326"/>
      <c r="J46" s="1330" t="e">
        <f t="shared" si="1"/>
        <v>#VALUE!</v>
      </c>
      <c r="K46" s="1330" t="e">
        <f t="shared" si="2"/>
        <v>#VALUE!</v>
      </c>
      <c r="L46" s="4047"/>
      <c r="M46" s="4047"/>
    </row>
    <row r="47" spans="2:14" ht="12.75" customHeight="1">
      <c r="B47" s="1412"/>
      <c r="C47" s="1413"/>
      <c r="D47" s="1414"/>
      <c r="E47" s="4710"/>
      <c r="F47" s="4711"/>
      <c r="G47" s="1328" t="e">
        <f t="shared" si="0"/>
        <v>#VALUE!</v>
      </c>
      <c r="H47" s="1329" t="e">
        <f t="shared" si="3"/>
        <v>#VALUE!</v>
      </c>
      <c r="I47" s="1326"/>
      <c r="J47" s="1330" t="e">
        <f t="shared" si="1"/>
        <v>#VALUE!</v>
      </c>
      <c r="K47" s="1330" t="e">
        <f t="shared" si="2"/>
        <v>#VALUE!</v>
      </c>
      <c r="L47" s="4047"/>
      <c r="M47" s="4047"/>
    </row>
    <row r="48" spans="2:14" ht="12.75" customHeight="1">
      <c r="B48" s="1412"/>
      <c r="C48" s="1413"/>
      <c r="D48" s="1414"/>
      <c r="E48" s="4710"/>
      <c r="F48" s="4711"/>
      <c r="G48" s="1328" t="e">
        <f t="shared" si="0"/>
        <v>#VALUE!</v>
      </c>
      <c r="H48" s="1329" t="e">
        <f>ROUNDUP(G48,0)</f>
        <v>#VALUE!</v>
      </c>
      <c r="I48" s="1326"/>
      <c r="J48" s="1330" t="e">
        <f t="shared" si="1"/>
        <v>#VALUE!</v>
      </c>
      <c r="K48" s="1330" t="e">
        <f t="shared" si="2"/>
        <v>#VALUE!</v>
      </c>
      <c r="L48" s="4047"/>
      <c r="M48" s="4047"/>
    </row>
    <row r="49" spans="1:13" ht="12.75" customHeight="1">
      <c r="B49" s="1412"/>
      <c r="C49" s="1413"/>
      <c r="D49" s="1414"/>
      <c r="E49" s="4710"/>
      <c r="F49" s="4711"/>
      <c r="G49" s="1328" t="e">
        <f t="shared" si="0"/>
        <v>#VALUE!</v>
      </c>
      <c r="H49" s="1329" t="e">
        <f t="shared" si="3"/>
        <v>#VALUE!</v>
      </c>
      <c r="I49" s="1326"/>
      <c r="J49" s="1330" t="e">
        <f t="shared" si="1"/>
        <v>#VALUE!</v>
      </c>
      <c r="K49" s="1330" t="e">
        <f t="shared" si="2"/>
        <v>#VALUE!</v>
      </c>
      <c r="L49" s="4047"/>
      <c r="M49" s="4047"/>
    </row>
    <row r="50" spans="1:13" ht="12.75" customHeight="1">
      <c r="B50" s="1412"/>
      <c r="C50" s="1413"/>
      <c r="D50" s="1414"/>
      <c r="E50" s="4710"/>
      <c r="F50" s="4711"/>
      <c r="G50" s="1328" t="e">
        <f t="shared" si="0"/>
        <v>#VALUE!</v>
      </c>
      <c r="H50" s="1329" t="e">
        <f t="shared" si="3"/>
        <v>#VALUE!</v>
      </c>
      <c r="I50" s="1326"/>
      <c r="J50" s="1330" t="e">
        <f t="shared" si="1"/>
        <v>#VALUE!</v>
      </c>
      <c r="K50" s="1330" t="e">
        <f t="shared" si="2"/>
        <v>#VALUE!</v>
      </c>
      <c r="L50" s="4047"/>
      <c r="M50" s="4047"/>
    </row>
    <row r="51" spans="1:13" ht="12.75" customHeight="1" thickBot="1">
      <c r="B51" s="1415"/>
      <c r="C51" s="1416"/>
      <c r="D51" s="1417"/>
      <c r="E51" s="4708"/>
      <c r="F51" s="4709"/>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3861</v>
      </c>
      <c r="H52" s="1309" t="e">
        <f>SUM(H33:H51)</f>
        <v>#VALUE!</v>
      </c>
      <c r="I52" s="1293"/>
      <c r="J52" s="1299" t="s">
        <v>3862</v>
      </c>
      <c r="K52" s="1295" t="e">
        <f>SUM(K33:K51)</f>
        <v>#VALUE!</v>
      </c>
      <c r="L52" s="4047"/>
      <c r="M52" s="4047"/>
    </row>
    <row r="53" spans="1:13" ht="15" customHeight="1">
      <c r="B53" s="1300"/>
      <c r="C53" s="4050" t="s">
        <v>3863</v>
      </c>
      <c r="D53" s="4050"/>
      <c r="E53" s="4050"/>
      <c r="F53" s="4050"/>
      <c r="G53" s="4050"/>
      <c r="H53" s="4050"/>
      <c r="I53" s="4050"/>
      <c r="J53" s="4051"/>
      <c r="K53" s="1301" t="str">
        <f>IF(J17="no",0,IF(J17="yes",J16,"Error"))</f>
        <v>Error</v>
      </c>
      <c r="L53" s="4047"/>
      <c r="M53" s="4047"/>
    </row>
    <row r="54" spans="1:13" ht="15" customHeight="1" thickBot="1">
      <c r="B54" s="1300"/>
      <c r="C54" s="4031" t="s">
        <v>3864</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3865</v>
      </c>
      <c r="B56" s="4029"/>
      <c r="C56" s="4029"/>
      <c r="D56" s="4029"/>
      <c r="E56" s="4029"/>
      <c r="F56" s="4029"/>
      <c r="G56" s="4029"/>
      <c r="H56" s="4029"/>
      <c r="I56" s="4029"/>
      <c r="J56" s="4029"/>
      <c r="K56" s="4030"/>
    </row>
    <row r="57" spans="1:13" ht="48" customHeight="1">
      <c r="A57" s="1285"/>
      <c r="B57" s="1276"/>
      <c r="C57" s="1287" t="s">
        <v>3866</v>
      </c>
      <c r="D57" s="1398" t="s">
        <v>3964</v>
      </c>
      <c r="E57" s="4034" t="s">
        <v>3882</v>
      </c>
      <c r="F57" s="4035"/>
      <c r="G57" s="4717" t="s">
        <v>3867</v>
      </c>
      <c r="H57" s="4718"/>
      <c r="I57" s="4034" t="s">
        <v>3881</v>
      </c>
      <c r="J57" s="4035"/>
      <c r="K57" s="4038"/>
    </row>
    <row r="58" spans="1:13" ht="15" customHeight="1">
      <c r="A58" s="1388"/>
      <c r="B58" s="1318"/>
      <c r="C58" s="1296">
        <f>SUMIF(C33:C51, "0", H33:H51)</f>
        <v>0</v>
      </c>
      <c r="D58" s="1399">
        <f t="shared" ref="D58:D63" si="4">ROUNDUP(C58*1.1,0)</f>
        <v>0</v>
      </c>
      <c r="E58" s="4040" t="s">
        <v>3868</v>
      </c>
      <c r="F58" s="4041"/>
      <c r="G58" s="4719" t="e">
        <f>#REF!</f>
        <v>#REF!</v>
      </c>
      <c r="H58" s="4720"/>
      <c r="I58" s="4042" t="e">
        <f t="shared" ref="I58:I63" si="5">D58*G58</f>
        <v>#REF!</v>
      </c>
      <c r="J58" s="4042"/>
      <c r="K58" s="4039"/>
    </row>
    <row r="59" spans="1:13">
      <c r="A59" s="1388"/>
      <c r="B59" s="1318"/>
      <c r="C59" s="1297">
        <f>SUMIF(C33:C51, "1", H33:H51)</f>
        <v>0</v>
      </c>
      <c r="D59" s="1400">
        <f t="shared" si="4"/>
        <v>0</v>
      </c>
      <c r="E59" s="4019" t="s">
        <v>2456</v>
      </c>
      <c r="F59" s="4020"/>
      <c r="G59" s="4715" t="e">
        <f>#REF!</f>
        <v>#REF!</v>
      </c>
      <c r="H59" s="4716"/>
      <c r="I59" s="4023" t="e">
        <f t="shared" si="5"/>
        <v>#REF!</v>
      </c>
      <c r="J59" s="4023"/>
      <c r="K59" s="4039"/>
    </row>
    <row r="60" spans="1:13" ht="15" customHeight="1">
      <c r="A60" s="1388"/>
      <c r="B60" s="1318"/>
      <c r="C60" s="1297">
        <f>SUMIF(C33:C51, "2", H33:H51)</f>
        <v>0</v>
      </c>
      <c r="D60" s="1400">
        <f t="shared" si="4"/>
        <v>0</v>
      </c>
      <c r="E60" s="4019" t="s">
        <v>2457</v>
      </c>
      <c r="F60" s="4020"/>
      <c r="G60" s="4715" t="e">
        <f>#REF!</f>
        <v>#REF!</v>
      </c>
      <c r="H60" s="4716"/>
      <c r="I60" s="4023" t="e">
        <f t="shared" si="5"/>
        <v>#REF!</v>
      </c>
      <c r="J60" s="4023"/>
      <c r="K60" s="4039"/>
    </row>
    <row r="61" spans="1:13">
      <c r="A61" s="1388"/>
      <c r="B61" s="1318"/>
      <c r="C61" s="1297">
        <f>SUMIF(C33:C51, "3", H33:H51)</f>
        <v>0</v>
      </c>
      <c r="D61" s="1400">
        <f t="shared" si="4"/>
        <v>0</v>
      </c>
      <c r="E61" s="4019" t="s">
        <v>2460</v>
      </c>
      <c r="F61" s="4020"/>
      <c r="G61" s="4715" t="e">
        <f>#REF!</f>
        <v>#REF!</v>
      </c>
      <c r="H61" s="4716"/>
      <c r="I61" s="4023" t="e">
        <f t="shared" si="5"/>
        <v>#REF!</v>
      </c>
      <c r="J61" s="4023"/>
      <c r="K61" s="4039"/>
    </row>
    <row r="62" spans="1:13">
      <c r="A62" s="1388"/>
      <c r="B62" s="1318"/>
      <c r="C62" s="1297">
        <f>SUMIF(C33:C51, "4", H33:H51)</f>
        <v>0</v>
      </c>
      <c r="D62" s="1400">
        <f t="shared" si="4"/>
        <v>0</v>
      </c>
      <c r="E62" s="4019" t="s">
        <v>3869</v>
      </c>
      <c r="F62" s="4020"/>
      <c r="G62" s="4715" t="e">
        <f>#REF!</f>
        <v>#REF!</v>
      </c>
      <c r="H62" s="4716"/>
      <c r="I62" s="4023" t="e">
        <f t="shared" si="5"/>
        <v>#REF!</v>
      </c>
      <c r="J62" s="4023"/>
      <c r="K62" s="4039"/>
    </row>
    <row r="63" spans="1:13">
      <c r="A63" s="1397"/>
      <c r="B63" s="1319"/>
      <c r="C63" s="1298">
        <f>SUMIF(C33:C51, "5", H33:H51)</f>
        <v>0</v>
      </c>
      <c r="D63" s="1401">
        <f t="shared" si="4"/>
        <v>0</v>
      </c>
      <c r="E63" s="4024" t="s">
        <v>3870</v>
      </c>
      <c r="F63" s="4025"/>
      <c r="G63" s="4713" t="e">
        <f>#REF!</f>
        <v>#REF!</v>
      </c>
      <c r="H63" s="4714"/>
      <c r="I63" s="4026" t="e">
        <f t="shared" si="5"/>
        <v>#REF!</v>
      </c>
      <c r="J63" s="4026"/>
      <c r="K63" s="1321"/>
    </row>
    <row r="64" spans="1:13" ht="17.25" thickBot="1">
      <c r="A64" s="1396" t="s">
        <v>3871</v>
      </c>
      <c r="B64" s="1314">
        <f>SUM(C58:C63)</f>
        <v>0</v>
      </c>
      <c r="C64" s="1402"/>
      <c r="D64" s="1402">
        <f>SUM(D58:D63)</f>
        <v>0</v>
      </c>
      <c r="E64" s="1395"/>
      <c r="F64" s="1395"/>
      <c r="G64" s="1395"/>
      <c r="H64" s="1395"/>
      <c r="I64" s="1395"/>
      <c r="J64" s="1389" t="s">
        <v>3872</v>
      </c>
      <c r="K64" s="1313" t="e">
        <f>SUM(I58:I62)</f>
        <v>#REF!</v>
      </c>
    </row>
    <row r="65" spans="1:11">
      <c r="A65" s="4027"/>
      <c r="B65" s="4027"/>
      <c r="C65" s="4027"/>
      <c r="D65" s="4027"/>
      <c r="E65" s="4027"/>
      <c r="F65" s="4027"/>
      <c r="G65" s="4027"/>
      <c r="H65" s="4027"/>
      <c r="I65" s="4027"/>
      <c r="J65" s="4027"/>
    </row>
    <row r="66" spans="1:11">
      <c r="A66" s="4028" t="s">
        <v>3873</v>
      </c>
      <c r="B66" s="4029"/>
      <c r="C66" s="4029"/>
      <c r="D66" s="4029"/>
      <c r="E66" s="4029"/>
      <c r="F66" s="4029"/>
      <c r="G66" s="4029"/>
      <c r="H66" s="4029"/>
      <c r="I66" s="4029"/>
      <c r="J66" s="4029"/>
      <c r="K66" s="4030"/>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7.25" thickBot="1">
      <c r="A69" s="1317"/>
      <c r="B69" s="1277"/>
      <c r="C69" s="1277"/>
      <c r="D69" s="1277"/>
      <c r="E69" s="1277" t="s">
        <v>3876</v>
      </c>
      <c r="F69" s="1277"/>
      <c r="G69" s="1277"/>
      <c r="H69" s="1277"/>
      <c r="I69" s="1277"/>
      <c r="J69" s="1319"/>
      <c r="K69" s="1322" t="e">
        <f>K64</f>
        <v>#REF!</v>
      </c>
    </row>
    <row r="70" spans="1:11" ht="17.25" thickBot="1">
      <c r="A70" s="1286"/>
      <c r="B70" s="1278"/>
      <c r="C70" s="4018" t="s">
        <v>3877</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2873</v>
      </c>
      <c r="H1" s="603" t="str">
        <f>'Sensitivity Analysis'!C8</f>
        <v>Lewis Crossing</v>
      </c>
    </row>
    <row r="2" spans="1:11">
      <c r="A2" s="549" t="s">
        <v>2874</v>
      </c>
      <c r="H2" s="431" t="str">
        <f>'Sensitivity Analysis'!E8</f>
        <v>2024-0</v>
      </c>
    </row>
    <row r="3" spans="1:11" ht="3" customHeight="1"/>
    <row r="4" spans="1:11" ht="51.75" customHeight="1">
      <c r="A4" s="4729" t="s">
        <v>2912</v>
      </c>
      <c r="B4" s="4729"/>
      <c r="C4" s="4729"/>
      <c r="D4" s="4729"/>
      <c r="E4" s="4729"/>
      <c r="F4" s="4729"/>
      <c r="G4" s="4729"/>
      <c r="H4" s="4729"/>
      <c r="J4" s="991">
        <f>SUM('Part VI-Pro Forma'!B15:B17)/12</f>
        <v>46386.85</v>
      </c>
      <c r="K4" s="990" t="s">
        <v>3544</v>
      </c>
    </row>
    <row r="5" spans="1:11" ht="1.5" customHeight="1"/>
    <row r="6" spans="1:11" ht="12.75" customHeight="1">
      <c r="B6" s="623" t="s">
        <v>2234</v>
      </c>
      <c r="C6" s="4729" t="s">
        <v>2875</v>
      </c>
      <c r="D6" s="4729"/>
      <c r="E6" s="4729"/>
      <c r="F6" s="4729"/>
      <c r="G6" s="4729"/>
      <c r="H6" s="4729"/>
    </row>
    <row r="7" spans="1:11" ht="12.75" customHeight="1">
      <c r="B7" s="623" t="s">
        <v>2235</v>
      </c>
      <c r="C7" s="4729" t="s">
        <v>2876</v>
      </c>
      <c r="D7" s="4729"/>
      <c r="E7" s="4729"/>
      <c r="F7" s="4729"/>
      <c r="G7" s="4729"/>
      <c r="H7" s="4729"/>
    </row>
    <row r="8" spans="1:11" ht="3" customHeight="1"/>
    <row r="9" spans="1:11">
      <c r="A9" s="431" t="s">
        <v>2877</v>
      </c>
    </row>
    <row r="10" spans="1:11" ht="1.5" customHeight="1"/>
    <row r="11" spans="1:11" ht="26.25" customHeight="1">
      <c r="A11" s="624" t="s">
        <v>1836</v>
      </c>
      <c r="B11" s="4733" t="s">
        <v>2909</v>
      </c>
      <c r="C11" s="4733"/>
      <c r="D11" s="4733"/>
      <c r="E11" s="4733"/>
      <c r="F11" s="4733"/>
      <c r="G11" s="4734">
        <f>'Part II-Sources of Funds'!I51+'Part II-Sources of Funds'!I52</f>
        <v>18088853</v>
      </c>
      <c r="H11" s="4734"/>
    </row>
    <row r="12" spans="1:11" ht="1.5" customHeight="1">
      <c r="G12" s="605"/>
      <c r="H12" s="605"/>
    </row>
    <row r="13" spans="1:11" ht="26.25" customHeight="1">
      <c r="A13" s="624" t="s">
        <v>1838</v>
      </c>
      <c r="B13" s="4733" t="s">
        <v>2910</v>
      </c>
      <c r="C13" s="4733"/>
      <c r="D13" s="4733"/>
      <c r="E13" s="4733"/>
      <c r="F13" s="4733"/>
      <c r="G13" s="4735" t="s">
        <v>2805</v>
      </c>
      <c r="H13" s="4735"/>
    </row>
    <row r="14" spans="1:11" ht="12" hidden="1" customHeight="1">
      <c r="A14" s="624"/>
      <c r="B14" s="4690"/>
      <c r="C14" s="4690"/>
      <c r="D14" s="4690"/>
      <c r="E14" s="4690"/>
      <c r="F14" s="4690"/>
      <c r="G14" s="4690"/>
      <c r="H14" s="4690"/>
    </row>
    <row r="15" spans="1:11" ht="1.5" customHeight="1"/>
    <row r="16" spans="1:11" ht="12" customHeight="1">
      <c r="A16" s="624" t="s">
        <v>697</v>
      </c>
      <c r="B16" s="431" t="s">
        <v>2913</v>
      </c>
      <c r="G16" s="4736" t="s">
        <v>2645</v>
      </c>
      <c r="H16" s="4736"/>
    </row>
    <row r="17" spans="1:8" ht="1.5" customHeight="1">
      <c r="G17" s="608"/>
    </row>
    <row r="18" spans="1:8" ht="12" customHeight="1">
      <c r="A18" s="624" t="s">
        <v>1957</v>
      </c>
      <c r="B18" s="605" t="s">
        <v>2911</v>
      </c>
      <c r="C18" s="624"/>
      <c r="D18" s="624"/>
      <c r="E18" s="624"/>
      <c r="G18" s="4690" t="s">
        <v>2508</v>
      </c>
      <c r="H18" s="4690"/>
    </row>
    <row r="19" spans="1:8" ht="12" hidden="1" customHeight="1">
      <c r="B19" s="4690"/>
      <c r="C19" s="4690"/>
      <c r="D19" s="4690"/>
      <c r="E19" s="4690"/>
      <c r="F19" s="4690"/>
      <c r="G19" s="4690"/>
      <c r="H19" s="4690"/>
    </row>
    <row r="20" spans="1:8" ht="13.5" customHeight="1"/>
    <row r="21" spans="1:8" ht="12" customHeight="1">
      <c r="A21" s="549" t="s">
        <v>2878</v>
      </c>
    </row>
    <row r="22" spans="1:8" ht="3" customHeight="1"/>
    <row r="23" spans="1:8" ht="24.75" customHeight="1">
      <c r="A23" s="4737" t="s">
        <v>3949</v>
      </c>
      <c r="B23" s="4737"/>
      <c r="C23" s="4737"/>
      <c r="D23" s="4737"/>
      <c r="E23" s="4737"/>
      <c r="F23" s="4737"/>
      <c r="G23" s="4737"/>
      <c r="H23" s="4737"/>
    </row>
    <row r="24" spans="1:8" ht="9" customHeight="1" thickBot="1">
      <c r="A24" s="600"/>
    </row>
    <row r="25" spans="1:8" ht="16.149999999999999" customHeight="1" thickBot="1">
      <c r="A25" s="4730">
        <v>20</v>
      </c>
      <c r="B25" s="4731"/>
      <c r="C25" s="1387" t="s">
        <v>974</v>
      </c>
    </row>
    <row r="26" spans="1:8" ht="9" customHeight="1">
      <c r="A26" s="600"/>
    </row>
    <row r="27" spans="1:8" ht="28.15" customHeight="1">
      <c r="A27" s="4729" t="s">
        <v>3954</v>
      </c>
      <c r="B27" s="4729"/>
      <c r="C27" s="4729"/>
      <c r="D27" s="4729"/>
      <c r="E27" s="4729"/>
      <c r="F27" s="4729"/>
      <c r="G27" s="4729"/>
      <c r="H27" s="4729"/>
    </row>
    <row r="28" spans="1:8" ht="9" customHeight="1">
      <c r="A28" s="600"/>
    </row>
    <row r="29" spans="1:8">
      <c r="A29" s="608" t="s">
        <v>2914</v>
      </c>
      <c r="B29" s="625" t="str">
        <f>IF('Part V-Revenues &amp; Expenses'!$K$62=0,"",'Part V-Revenues &amp; Expenses'!$K$62)</f>
        <v/>
      </c>
      <c r="C29" s="608" t="s">
        <v>3947</v>
      </c>
      <c r="D29" s="626" t="s">
        <v>3948</v>
      </c>
    </row>
    <row r="30" spans="1:8" ht="1.9" customHeight="1"/>
    <row r="31" spans="1:8" ht="12.75" customHeight="1">
      <c r="C31" s="605" t="s">
        <v>2879</v>
      </c>
      <c r="D31" s="627" t="s">
        <v>1839</v>
      </c>
      <c r="E31" s="628"/>
      <c r="F31" s="4729" t="s">
        <v>2880</v>
      </c>
      <c r="G31" s="4729"/>
      <c r="H31" s="4729"/>
    </row>
    <row r="32" spans="1:8" ht="12.75" customHeight="1">
      <c r="C32" s="629" t="s">
        <v>1273</v>
      </c>
      <c r="D32" s="627" t="s">
        <v>1841</v>
      </c>
      <c r="E32" s="4729" t="s">
        <v>2919</v>
      </c>
      <c r="F32" s="4729"/>
      <c r="G32" s="4729"/>
      <c r="H32" s="4729"/>
    </row>
    <row r="33" spans="1:11" ht="12.75" customHeight="1">
      <c r="C33" s="1385" t="s">
        <v>3952</v>
      </c>
      <c r="E33" s="4729" t="s">
        <v>3038</v>
      </c>
      <c r="F33" s="4729"/>
      <c r="G33" s="4729"/>
      <c r="H33" s="4729"/>
    </row>
    <row r="34" spans="1:11" ht="12.75" customHeight="1">
      <c r="C34" s="1386"/>
      <c r="D34" s="1384" t="s">
        <v>2918</v>
      </c>
      <c r="E34" s="4732" t="s">
        <v>3039</v>
      </c>
      <c r="F34" s="4732"/>
      <c r="G34" s="4732"/>
      <c r="H34" s="4732"/>
    </row>
    <row r="35" spans="1:11" ht="3" customHeight="1">
      <c r="D35" s="627"/>
      <c r="E35" s="1004"/>
      <c r="F35" s="1004"/>
      <c r="G35" s="1004"/>
      <c r="H35" s="1004"/>
    </row>
    <row r="36" spans="1:11" ht="12.75" customHeight="1">
      <c r="C36" s="605" t="s">
        <v>2879</v>
      </c>
      <c r="D36" s="627" t="s">
        <v>1839</v>
      </c>
      <c r="E36" s="628"/>
      <c r="F36" s="624" t="s">
        <v>2880</v>
      </c>
      <c r="G36" s="624"/>
      <c r="H36" s="624"/>
    </row>
    <row r="37" spans="1:11" ht="12.75" customHeight="1">
      <c r="C37" s="629" t="s">
        <v>1273</v>
      </c>
      <c r="D37" s="627" t="s">
        <v>1841</v>
      </c>
      <c r="E37" s="4729" t="s">
        <v>2919</v>
      </c>
      <c r="F37" s="4729"/>
      <c r="G37" s="4729"/>
      <c r="H37" s="4729"/>
    </row>
    <row r="38" spans="1:11" ht="12.75" customHeight="1">
      <c r="C38" s="1385" t="s">
        <v>3952</v>
      </c>
      <c r="E38" s="4729" t="s">
        <v>3038</v>
      </c>
      <c r="F38" s="4729"/>
      <c r="G38" s="4729"/>
      <c r="H38" s="4729"/>
    </row>
    <row r="39" spans="1:11" ht="12.75" customHeight="1">
      <c r="C39" s="1386"/>
      <c r="D39" s="1384" t="s">
        <v>2918</v>
      </c>
      <c r="E39" s="4732" t="s">
        <v>3039</v>
      </c>
      <c r="F39" s="4732"/>
      <c r="G39" s="4732"/>
      <c r="H39" s="4732"/>
    </row>
    <row r="40" spans="1:11" ht="3" customHeight="1">
      <c r="D40" s="627"/>
      <c r="E40" s="1004"/>
      <c r="F40" s="1004"/>
      <c r="G40" s="1004"/>
      <c r="H40" s="1004"/>
    </row>
    <row r="41" spans="1:11" ht="12.75" customHeight="1">
      <c r="C41" s="605" t="s">
        <v>2879</v>
      </c>
      <c r="D41" s="627" t="s">
        <v>1839</v>
      </c>
      <c r="E41" s="628"/>
      <c r="F41" s="624" t="s">
        <v>2880</v>
      </c>
      <c r="G41" s="624"/>
      <c r="H41" s="624"/>
    </row>
    <row r="42" spans="1:11" ht="12.75" customHeight="1">
      <c r="C42" s="629" t="s">
        <v>1273</v>
      </c>
      <c r="D42" s="627" t="s">
        <v>1841</v>
      </c>
      <c r="E42" s="4729" t="s">
        <v>2919</v>
      </c>
      <c r="F42" s="4729"/>
      <c r="G42" s="4729"/>
      <c r="H42" s="4729"/>
    </row>
    <row r="43" spans="1:11" ht="12.75" customHeight="1">
      <c r="C43" s="1385" t="s">
        <v>3952</v>
      </c>
      <c r="E43" s="4729" t="s">
        <v>3038</v>
      </c>
      <c r="F43" s="4729"/>
      <c r="G43" s="4729"/>
      <c r="H43" s="4729"/>
    </row>
    <row r="44" spans="1:11" ht="12.75" customHeight="1">
      <c r="C44" s="1386"/>
      <c r="D44" s="1384" t="s">
        <v>2918</v>
      </c>
      <c r="E44" s="4732" t="s">
        <v>3039</v>
      </c>
      <c r="F44" s="4732"/>
      <c r="G44" s="4732"/>
      <c r="H44" s="4732"/>
    </row>
    <row r="45" spans="1:11" ht="6" customHeight="1">
      <c r="D45" s="627"/>
      <c r="E45" s="1004"/>
      <c r="F45" s="1004"/>
      <c r="G45" s="1004"/>
      <c r="H45" s="1004"/>
    </row>
    <row r="46" spans="1:11">
      <c r="A46" s="608" t="s">
        <v>2914</v>
      </c>
      <c r="B46" s="625" t="str">
        <f>IF('Part V-Revenues &amp; Expenses'!$L$62=0,"",'Part V-Revenues &amp; Expenses'!$L$62)</f>
        <v/>
      </c>
      <c r="C46" s="608" t="s">
        <v>2915</v>
      </c>
      <c r="D46" s="626" t="s">
        <v>3040</v>
      </c>
    </row>
    <row r="47" spans="1:11" ht="1.9" customHeight="1">
      <c r="K47" s="599"/>
    </row>
    <row r="48" spans="1:11" ht="12.75" customHeight="1">
      <c r="C48" s="605" t="s">
        <v>2879</v>
      </c>
      <c r="D48" s="627" t="s">
        <v>1839</v>
      </c>
      <c r="E48" s="628"/>
      <c r="F48" s="624" t="s">
        <v>2880</v>
      </c>
      <c r="G48" s="624"/>
      <c r="H48" s="624"/>
      <c r="K48" s="599"/>
    </row>
    <row r="49" spans="1:11" ht="12.75" customHeight="1">
      <c r="C49" s="629" t="s">
        <v>1273</v>
      </c>
      <c r="D49" s="627" t="s">
        <v>1841</v>
      </c>
      <c r="E49" s="4729" t="s">
        <v>2919</v>
      </c>
      <c r="F49" s="4729"/>
      <c r="G49" s="4729"/>
      <c r="H49" s="4729"/>
      <c r="K49" s="599"/>
    </row>
    <row r="50" spans="1:11" ht="12.75" customHeight="1">
      <c r="C50" s="1385" t="s">
        <v>3952</v>
      </c>
      <c r="E50" s="4729" t="s">
        <v>3038</v>
      </c>
      <c r="F50" s="4729"/>
      <c r="G50" s="4729"/>
      <c r="H50" s="4729"/>
    </row>
    <row r="51" spans="1:11" ht="12.75" customHeight="1">
      <c r="C51" s="1386"/>
      <c r="D51" s="630" t="s">
        <v>2918</v>
      </c>
      <c r="E51" s="4729" t="s">
        <v>3039</v>
      </c>
      <c r="F51" s="4729"/>
      <c r="G51" s="4729"/>
      <c r="H51" s="4729"/>
    </row>
    <row r="52" spans="1:11" ht="3" customHeight="1">
      <c r="D52" s="627"/>
      <c r="E52" s="1004"/>
      <c r="F52" s="1004"/>
      <c r="G52" s="1004"/>
      <c r="H52" s="1004"/>
    </row>
    <row r="53" spans="1:11" ht="12.75" customHeight="1">
      <c r="C53" s="605" t="s">
        <v>2879</v>
      </c>
      <c r="D53" s="627" t="s">
        <v>1839</v>
      </c>
      <c r="E53" s="628"/>
      <c r="F53" s="624" t="s">
        <v>2880</v>
      </c>
      <c r="G53" s="624"/>
      <c r="H53" s="624"/>
    </row>
    <row r="54" spans="1:11" ht="12.75" customHeight="1">
      <c r="C54" s="629" t="s">
        <v>1273</v>
      </c>
      <c r="D54" s="627" t="s">
        <v>1841</v>
      </c>
      <c r="E54" s="4729" t="s">
        <v>2919</v>
      </c>
      <c r="F54" s="4729"/>
      <c r="G54" s="4729"/>
      <c r="H54" s="4729"/>
    </row>
    <row r="55" spans="1:11" ht="12.75" customHeight="1">
      <c r="C55" s="1385" t="s">
        <v>3952</v>
      </c>
      <c r="E55" s="4729" t="s">
        <v>3038</v>
      </c>
      <c r="F55" s="4729"/>
      <c r="G55" s="4729"/>
      <c r="H55" s="4729"/>
    </row>
    <row r="56" spans="1:11" ht="12.75" customHeight="1">
      <c r="C56" s="1386"/>
      <c r="D56" s="1384" t="s">
        <v>2918</v>
      </c>
      <c r="E56" s="4732" t="s">
        <v>3039</v>
      </c>
      <c r="F56" s="4732"/>
      <c r="G56" s="4732"/>
      <c r="H56" s="4732"/>
    </row>
    <row r="57" spans="1:11" ht="3" customHeight="1">
      <c r="D57" s="627"/>
      <c r="E57" s="1004"/>
      <c r="F57" s="1004"/>
      <c r="G57" s="1004"/>
      <c r="H57" s="1004"/>
    </row>
    <row r="58" spans="1:11" ht="12.75" customHeight="1">
      <c r="C58" s="605" t="s">
        <v>2879</v>
      </c>
      <c r="D58" s="627" t="s">
        <v>1839</v>
      </c>
      <c r="E58" s="628"/>
      <c r="F58" s="624" t="s">
        <v>2880</v>
      </c>
      <c r="G58" s="624"/>
      <c r="H58" s="624"/>
    </row>
    <row r="59" spans="1:11" ht="12.75" customHeight="1">
      <c r="C59" s="629" t="s">
        <v>1273</v>
      </c>
      <c r="D59" s="627" t="s">
        <v>1841</v>
      </c>
      <c r="E59" s="4729" t="s">
        <v>2919</v>
      </c>
      <c r="F59" s="4729"/>
      <c r="G59" s="4729"/>
      <c r="H59" s="4729"/>
    </row>
    <row r="60" spans="1:11" ht="12.75" customHeight="1">
      <c r="C60" s="1385" t="s">
        <v>3952</v>
      </c>
      <c r="E60" s="4729" t="s">
        <v>3038</v>
      </c>
      <c r="F60" s="4729"/>
      <c r="G60" s="4729"/>
      <c r="H60" s="4729"/>
    </row>
    <row r="61" spans="1:11" ht="12.75" customHeight="1">
      <c r="C61" s="1386"/>
      <c r="D61" s="1384" t="s">
        <v>2918</v>
      </c>
      <c r="E61" s="4732" t="s">
        <v>3039</v>
      </c>
      <c r="F61" s="4732"/>
      <c r="G61" s="4732"/>
      <c r="H61" s="4732"/>
    </row>
    <row r="62" spans="1:11" ht="6" customHeight="1">
      <c r="D62" s="627"/>
      <c r="E62" s="1004"/>
      <c r="F62" s="1004"/>
      <c r="G62" s="1004"/>
      <c r="H62" s="1004"/>
    </row>
    <row r="63" spans="1:11">
      <c r="A63" s="608" t="s">
        <v>2914</v>
      </c>
      <c r="B63" s="625" t="str">
        <f>IF('Part V-Revenues &amp; Expenses'!$M$62=0,"",'Part V-Revenues &amp; Expenses'!$M$62)</f>
        <v/>
      </c>
      <c r="C63" s="608" t="s">
        <v>2916</v>
      </c>
      <c r="D63" s="626" t="s">
        <v>3041</v>
      </c>
    </row>
    <row r="64" spans="1:11" ht="1.9" customHeight="1"/>
    <row r="65" spans="1:8" ht="12.75" customHeight="1">
      <c r="C65" s="605" t="s">
        <v>2879</v>
      </c>
      <c r="D65" s="627" t="s">
        <v>1839</v>
      </c>
      <c r="E65" s="628"/>
      <c r="F65" s="624" t="s">
        <v>2880</v>
      </c>
      <c r="G65" s="624"/>
      <c r="H65" s="624"/>
    </row>
    <row r="66" spans="1:8" ht="12.75" customHeight="1">
      <c r="C66" s="629" t="s">
        <v>1273</v>
      </c>
      <c r="D66" s="627" t="s">
        <v>1841</v>
      </c>
      <c r="E66" s="4729" t="s">
        <v>2919</v>
      </c>
      <c r="F66" s="4729"/>
      <c r="G66" s="4729"/>
      <c r="H66" s="4729"/>
    </row>
    <row r="67" spans="1:8" ht="12.75" customHeight="1">
      <c r="C67" s="1385" t="s">
        <v>3952</v>
      </c>
      <c r="E67" s="4729" t="s">
        <v>3038</v>
      </c>
      <c r="F67" s="4729"/>
      <c r="G67" s="4729"/>
      <c r="H67" s="4729"/>
    </row>
    <row r="68" spans="1:8" ht="12.75" customHeight="1">
      <c r="C68" s="1386"/>
      <c r="D68" s="630" t="s">
        <v>2918</v>
      </c>
      <c r="E68" s="4729" t="s">
        <v>3039</v>
      </c>
      <c r="F68" s="4729"/>
      <c r="G68" s="4729"/>
      <c r="H68" s="4729"/>
    </row>
    <row r="69" spans="1:8" ht="3" customHeight="1">
      <c r="D69" s="627"/>
      <c r="E69" s="1004"/>
      <c r="F69" s="1004"/>
      <c r="G69" s="1004"/>
      <c r="H69" s="1004"/>
    </row>
    <row r="70" spans="1:8" ht="12.75" customHeight="1">
      <c r="C70" s="605" t="s">
        <v>2879</v>
      </c>
      <c r="D70" s="627" t="s">
        <v>1839</v>
      </c>
      <c r="E70" s="628"/>
      <c r="F70" s="624" t="s">
        <v>2880</v>
      </c>
      <c r="G70" s="624"/>
      <c r="H70" s="624"/>
    </row>
    <row r="71" spans="1:8" ht="12.75" customHeight="1">
      <c r="C71" s="629" t="s">
        <v>1273</v>
      </c>
      <c r="D71" s="627" t="s">
        <v>1841</v>
      </c>
      <c r="E71" s="4729" t="s">
        <v>2919</v>
      </c>
      <c r="F71" s="4729"/>
      <c r="G71" s="4729"/>
      <c r="H71" s="4729"/>
    </row>
    <row r="72" spans="1:8" ht="12.75" customHeight="1">
      <c r="C72" s="1385" t="s">
        <v>3952</v>
      </c>
      <c r="E72" s="4729" t="s">
        <v>3038</v>
      </c>
      <c r="F72" s="4729"/>
      <c r="G72" s="4729"/>
      <c r="H72" s="4729"/>
    </row>
    <row r="73" spans="1:8" ht="12.75" customHeight="1">
      <c r="C73" s="1386"/>
      <c r="D73" s="1384" t="s">
        <v>2918</v>
      </c>
      <c r="E73" s="4732" t="s">
        <v>3039</v>
      </c>
      <c r="F73" s="4732"/>
      <c r="G73" s="4732"/>
      <c r="H73" s="4732"/>
    </row>
    <row r="74" spans="1:8" ht="3" customHeight="1">
      <c r="D74" s="627"/>
      <c r="E74" s="1004"/>
      <c r="F74" s="1004"/>
      <c r="G74" s="1004"/>
      <c r="H74" s="1004"/>
    </row>
    <row r="75" spans="1:8" ht="12.75" customHeight="1">
      <c r="C75" s="605" t="s">
        <v>2879</v>
      </c>
      <c r="D75" s="627" t="s">
        <v>1839</v>
      </c>
      <c r="E75" s="628"/>
      <c r="F75" s="624" t="s">
        <v>2880</v>
      </c>
      <c r="G75" s="624"/>
      <c r="H75" s="624"/>
    </row>
    <row r="76" spans="1:8" ht="12.75" customHeight="1">
      <c r="C76" s="629" t="s">
        <v>1273</v>
      </c>
      <c r="D76" s="627" t="s">
        <v>1841</v>
      </c>
      <c r="E76" s="4729" t="s">
        <v>2919</v>
      </c>
      <c r="F76" s="4729"/>
      <c r="G76" s="4729"/>
      <c r="H76" s="4729"/>
    </row>
    <row r="77" spans="1:8" ht="12.75" customHeight="1">
      <c r="C77" s="1385" t="s">
        <v>3952</v>
      </c>
      <c r="E77" s="4729" t="s">
        <v>3038</v>
      </c>
      <c r="F77" s="4729"/>
      <c r="G77" s="4729"/>
      <c r="H77" s="4729"/>
    </row>
    <row r="78" spans="1:8" ht="12.75" customHeight="1">
      <c r="C78" s="1386"/>
      <c r="D78" s="1384" t="s">
        <v>2918</v>
      </c>
      <c r="E78" s="4732" t="s">
        <v>3039</v>
      </c>
      <c r="F78" s="4732"/>
      <c r="G78" s="4732"/>
      <c r="H78" s="4732"/>
    </row>
    <row r="79" spans="1:8" ht="6" customHeight="1">
      <c r="D79" s="627"/>
      <c r="E79" s="1004"/>
      <c r="F79" s="1004"/>
      <c r="G79" s="1004"/>
      <c r="H79" s="1004"/>
    </row>
    <row r="80" spans="1:8">
      <c r="A80" s="608" t="s">
        <v>2914</v>
      </c>
      <c r="B80" s="625" t="str">
        <f>IF('Part V-Revenues &amp; Expenses'!$N$62=0,"",'Part V-Revenues &amp; Expenses'!$N$62)</f>
        <v/>
      </c>
      <c r="C80" s="608" t="s">
        <v>2917</v>
      </c>
      <c r="D80" s="626" t="s">
        <v>3042</v>
      </c>
    </row>
    <row r="81" spans="3:8" ht="1.9" customHeight="1"/>
    <row r="82" spans="3:8" ht="12.75" customHeight="1">
      <c r="C82" s="605" t="s">
        <v>2879</v>
      </c>
      <c r="D82" s="627" t="s">
        <v>1839</v>
      </c>
      <c r="E82" s="628"/>
      <c r="F82" s="624" t="s">
        <v>2880</v>
      </c>
      <c r="G82" s="624"/>
      <c r="H82" s="624"/>
    </row>
    <row r="83" spans="3:8" ht="12.75" customHeight="1">
      <c r="C83" s="629" t="s">
        <v>1273</v>
      </c>
      <c r="D83" s="627" t="s">
        <v>1841</v>
      </c>
      <c r="E83" s="4729" t="s">
        <v>2919</v>
      </c>
      <c r="F83" s="4729"/>
      <c r="G83" s="4729"/>
      <c r="H83" s="4729"/>
    </row>
    <row r="84" spans="3:8" ht="12.75" customHeight="1">
      <c r="C84" s="1385" t="s">
        <v>3952</v>
      </c>
      <c r="E84" s="4729" t="s">
        <v>3038</v>
      </c>
      <c r="F84" s="4729"/>
      <c r="G84" s="4729"/>
      <c r="H84" s="4729"/>
    </row>
    <row r="85" spans="3:8" ht="12.75" customHeight="1">
      <c r="C85" s="1386"/>
      <c r="D85" s="630" t="s">
        <v>2918</v>
      </c>
      <c r="E85" s="4729" t="s">
        <v>3039</v>
      </c>
      <c r="F85" s="4729"/>
      <c r="G85" s="4729"/>
      <c r="H85" s="4729"/>
    </row>
    <row r="86" spans="3:8" ht="3" customHeight="1">
      <c r="D86" s="627"/>
      <c r="E86" s="1004"/>
      <c r="F86" s="1004"/>
      <c r="G86" s="1004"/>
      <c r="H86" s="1004"/>
    </row>
    <row r="87" spans="3:8" ht="12.75" customHeight="1">
      <c r="C87" s="605" t="s">
        <v>2879</v>
      </c>
      <c r="D87" s="627" t="s">
        <v>1839</v>
      </c>
      <c r="E87" s="628"/>
      <c r="F87" s="624" t="s">
        <v>2880</v>
      </c>
      <c r="G87" s="624"/>
      <c r="H87" s="624"/>
    </row>
    <row r="88" spans="3:8" ht="12.75" customHeight="1">
      <c r="C88" s="629" t="s">
        <v>1273</v>
      </c>
      <c r="D88" s="627" t="s">
        <v>1841</v>
      </c>
      <c r="E88" s="4729" t="s">
        <v>2919</v>
      </c>
      <c r="F88" s="4729"/>
      <c r="G88" s="4729"/>
      <c r="H88" s="4729"/>
    </row>
    <row r="89" spans="3:8" ht="12.75" customHeight="1">
      <c r="C89" s="1385" t="s">
        <v>3952</v>
      </c>
      <c r="E89" s="4729" t="s">
        <v>3038</v>
      </c>
      <c r="F89" s="4729"/>
      <c r="G89" s="4729"/>
      <c r="H89" s="4729"/>
    </row>
    <row r="90" spans="3:8" ht="12.75" customHeight="1">
      <c r="C90" s="1386"/>
      <c r="D90" s="1384" t="s">
        <v>2918</v>
      </c>
      <c r="E90" s="4732" t="s">
        <v>3039</v>
      </c>
      <c r="F90" s="4732"/>
      <c r="G90" s="4732"/>
      <c r="H90" s="4732"/>
    </row>
    <row r="91" spans="3:8" ht="3" customHeight="1">
      <c r="D91" s="627"/>
      <c r="E91" s="1004"/>
      <c r="F91" s="1004"/>
      <c r="G91" s="1004"/>
      <c r="H91" s="1004"/>
    </row>
    <row r="92" spans="3:8" ht="12.75" customHeight="1">
      <c r="C92" s="605" t="s">
        <v>2879</v>
      </c>
      <c r="D92" s="627" t="s">
        <v>1839</v>
      </c>
      <c r="E92" s="628"/>
      <c r="F92" s="624" t="s">
        <v>2880</v>
      </c>
      <c r="G92" s="624"/>
      <c r="H92" s="624"/>
    </row>
    <row r="93" spans="3:8" ht="12.75" customHeight="1">
      <c r="C93" s="629" t="s">
        <v>1273</v>
      </c>
      <c r="D93" s="627" t="s">
        <v>1841</v>
      </c>
      <c r="E93" s="4729" t="s">
        <v>2919</v>
      </c>
      <c r="F93" s="4729"/>
      <c r="G93" s="4729"/>
      <c r="H93" s="4729"/>
    </row>
    <row r="94" spans="3:8" ht="12.75" customHeight="1">
      <c r="C94" s="1385" t="s">
        <v>3952</v>
      </c>
      <c r="E94" s="4729" t="s">
        <v>3038</v>
      </c>
      <c r="F94" s="4729"/>
      <c r="G94" s="4729"/>
      <c r="H94" s="4729"/>
    </row>
    <row r="95" spans="3:8" ht="12.75" customHeight="1">
      <c r="C95" s="1386"/>
      <c r="D95" s="1384" t="s">
        <v>2918</v>
      </c>
      <c r="E95" s="4732" t="s">
        <v>3039</v>
      </c>
      <c r="F95" s="4732"/>
      <c r="G95" s="4732"/>
      <c r="H95" s="4732"/>
    </row>
    <row r="96" spans="3:8" ht="6" customHeight="1">
      <c r="D96" s="627"/>
      <c r="E96" s="1004"/>
      <c r="F96" s="1004"/>
      <c r="G96" s="1004"/>
      <c r="H96" s="1004"/>
    </row>
    <row r="97" spans="1:11">
      <c r="A97" s="608" t="s">
        <v>2914</v>
      </c>
      <c r="B97" s="625" t="str">
        <f>IF('Part V-Revenues &amp; Expenses'!$O$62=0,"",'Part V-Revenues &amp; Expenses'!$O$62)</f>
        <v/>
      </c>
      <c r="C97" s="608" t="s">
        <v>3950</v>
      </c>
      <c r="D97" s="626" t="s">
        <v>3951</v>
      </c>
    </row>
    <row r="98" spans="1:11" ht="1.9" customHeight="1"/>
    <row r="99" spans="1:11" ht="12.75" customHeight="1">
      <c r="C99" s="605" t="s">
        <v>2879</v>
      </c>
      <c r="D99" s="627" t="s">
        <v>1839</v>
      </c>
      <c r="E99" s="628"/>
      <c r="F99" s="4729" t="s">
        <v>2880</v>
      </c>
      <c r="G99" s="4729"/>
      <c r="H99" s="4729"/>
      <c r="K99" s="431" t="s">
        <v>233</v>
      </c>
    </row>
    <row r="100" spans="1:11" ht="12.75" customHeight="1">
      <c r="C100" s="629" t="s">
        <v>1273</v>
      </c>
      <c r="D100" s="627" t="s">
        <v>1841</v>
      </c>
      <c r="E100" s="4729" t="s">
        <v>2920</v>
      </c>
      <c r="F100" s="4729"/>
      <c r="G100" s="4729"/>
      <c r="H100" s="4729"/>
    </row>
    <row r="101" spans="1:11" ht="12.75" customHeight="1">
      <c r="E101" s="4729" t="s">
        <v>3038</v>
      </c>
      <c r="F101" s="4729"/>
      <c r="G101" s="4729"/>
      <c r="H101" s="4729"/>
    </row>
    <row r="102" spans="1:11" ht="12.75" customHeight="1">
      <c r="D102" s="630" t="s">
        <v>2918</v>
      </c>
      <c r="E102" s="4729" t="s">
        <v>3039</v>
      </c>
      <c r="F102" s="4729"/>
      <c r="G102" s="4729"/>
      <c r="H102" s="4729"/>
    </row>
    <row r="103" spans="1:11" ht="9" customHeight="1" thickBot="1"/>
    <row r="104" spans="1:11" ht="16.149999999999999" customHeight="1" thickBot="1">
      <c r="A104" s="4730">
        <v>30</v>
      </c>
      <c r="B104" s="4731"/>
      <c r="C104" s="1387" t="s">
        <v>974</v>
      </c>
    </row>
    <row r="105" spans="1:11" ht="9" customHeight="1">
      <c r="A105" s="600"/>
    </row>
    <row r="106" spans="1:11" ht="28.15" customHeight="1">
      <c r="A106" s="4729" t="s">
        <v>3955</v>
      </c>
      <c r="B106" s="4729"/>
      <c r="C106" s="4729"/>
      <c r="D106" s="4729"/>
      <c r="E106" s="4729"/>
      <c r="F106" s="4729"/>
      <c r="G106" s="4729"/>
      <c r="H106" s="4729"/>
    </row>
    <row r="107" spans="1:11" ht="9" customHeight="1">
      <c r="A107" s="600"/>
    </row>
    <row r="108" spans="1:11">
      <c r="A108" s="608" t="s">
        <v>2914</v>
      </c>
      <c r="B108" s="625" t="str">
        <f>IF('Part V-Revenues &amp; Expenses'!$K$61=0,"",'Part V-Revenues &amp; Expenses'!$K$61)</f>
        <v/>
      </c>
      <c r="C108" s="608" t="s">
        <v>3947</v>
      </c>
      <c r="D108" s="626" t="s">
        <v>3948</v>
      </c>
    </row>
    <row r="109" spans="1:11" ht="1.9" customHeight="1"/>
    <row r="110" spans="1:11" ht="12.75" customHeight="1">
      <c r="C110" s="605" t="s">
        <v>2879</v>
      </c>
      <c r="D110" s="627" t="s">
        <v>1839</v>
      </c>
      <c r="E110" s="628"/>
      <c r="F110" s="4729" t="s">
        <v>2880</v>
      </c>
      <c r="G110" s="4729"/>
      <c r="H110" s="4729"/>
    </row>
    <row r="111" spans="1:11" ht="12.75" customHeight="1">
      <c r="C111" s="629" t="s">
        <v>1273</v>
      </c>
      <c r="D111" s="627" t="s">
        <v>1841</v>
      </c>
      <c r="E111" s="4729" t="s">
        <v>2919</v>
      </c>
      <c r="F111" s="4729"/>
      <c r="G111" s="4729"/>
      <c r="H111" s="4729"/>
    </row>
    <row r="112" spans="1:11" ht="12.75" customHeight="1">
      <c r="C112" s="1385" t="s">
        <v>3952</v>
      </c>
      <c r="E112" s="4729" t="s">
        <v>3038</v>
      </c>
      <c r="F112" s="4729"/>
      <c r="G112" s="4729"/>
      <c r="H112" s="4729"/>
    </row>
    <row r="113" spans="1:8" ht="12.75" customHeight="1">
      <c r="C113" s="1386"/>
      <c r="D113" s="1384" t="s">
        <v>2918</v>
      </c>
      <c r="E113" s="4732" t="s">
        <v>3039</v>
      </c>
      <c r="F113" s="4732"/>
      <c r="G113" s="4732"/>
      <c r="H113" s="4732"/>
    </row>
    <row r="114" spans="1:8" ht="3" customHeight="1">
      <c r="D114" s="627"/>
      <c r="E114" s="1004"/>
      <c r="F114" s="1004"/>
      <c r="G114" s="1004"/>
      <c r="H114" s="1004"/>
    </row>
    <row r="115" spans="1:8" ht="12.75" customHeight="1">
      <c r="C115" s="605" t="s">
        <v>2879</v>
      </c>
      <c r="D115" s="627" t="s">
        <v>1839</v>
      </c>
      <c r="E115" s="628"/>
      <c r="F115" s="624" t="s">
        <v>2880</v>
      </c>
      <c r="G115" s="624"/>
      <c r="H115" s="624"/>
    </row>
    <row r="116" spans="1:8" ht="12.75" customHeight="1">
      <c r="C116" s="629" t="s">
        <v>1273</v>
      </c>
      <c r="D116" s="627" t="s">
        <v>1841</v>
      </c>
      <c r="E116" s="4729" t="s">
        <v>2919</v>
      </c>
      <c r="F116" s="4729"/>
      <c r="G116" s="4729"/>
      <c r="H116" s="4729"/>
    </row>
    <row r="117" spans="1:8" ht="12.75" customHeight="1">
      <c r="C117" s="1385" t="s">
        <v>3952</v>
      </c>
      <c r="E117" s="4729" t="s">
        <v>3038</v>
      </c>
      <c r="F117" s="4729"/>
      <c r="G117" s="4729"/>
      <c r="H117" s="4729"/>
    </row>
    <row r="118" spans="1:8" ht="12.75" customHeight="1">
      <c r="C118" s="1386"/>
      <c r="D118" s="1384" t="s">
        <v>2918</v>
      </c>
      <c r="E118" s="4732" t="s">
        <v>3039</v>
      </c>
      <c r="F118" s="4732"/>
      <c r="G118" s="4732"/>
      <c r="H118" s="4732"/>
    </row>
    <row r="119" spans="1:8" ht="3" customHeight="1">
      <c r="D119" s="627"/>
      <c r="E119" s="1004"/>
      <c r="F119" s="1004"/>
      <c r="G119" s="1004"/>
      <c r="H119" s="1004"/>
    </row>
    <row r="120" spans="1:8" ht="12.75" customHeight="1">
      <c r="C120" s="605" t="s">
        <v>2879</v>
      </c>
      <c r="D120" s="627" t="s">
        <v>1839</v>
      </c>
      <c r="E120" s="628"/>
      <c r="F120" s="624" t="s">
        <v>2880</v>
      </c>
      <c r="G120" s="624"/>
      <c r="H120" s="624"/>
    </row>
    <row r="121" spans="1:8" ht="12.75" customHeight="1">
      <c r="C121" s="629" t="s">
        <v>1273</v>
      </c>
      <c r="D121" s="627" t="s">
        <v>1841</v>
      </c>
      <c r="E121" s="4729" t="s">
        <v>2919</v>
      </c>
      <c r="F121" s="4729"/>
      <c r="G121" s="4729"/>
      <c r="H121" s="4729"/>
    </row>
    <row r="122" spans="1:8" ht="12.75" customHeight="1">
      <c r="C122" s="1385" t="s">
        <v>3952</v>
      </c>
      <c r="E122" s="4729" t="s">
        <v>3038</v>
      </c>
      <c r="F122" s="4729"/>
      <c r="G122" s="4729"/>
      <c r="H122" s="4729"/>
    </row>
    <row r="123" spans="1:8" ht="12.75" customHeight="1">
      <c r="C123" s="1386"/>
      <c r="D123" s="1384" t="s">
        <v>2918</v>
      </c>
      <c r="E123" s="4732" t="s">
        <v>3039</v>
      </c>
      <c r="F123" s="4732"/>
      <c r="G123" s="4732"/>
      <c r="H123" s="4732"/>
    </row>
    <row r="124" spans="1:8" ht="6" customHeight="1">
      <c r="D124" s="627"/>
      <c r="E124" s="1004"/>
      <c r="F124" s="1004"/>
      <c r="G124" s="1004"/>
      <c r="H124" s="1004"/>
    </row>
    <row r="125" spans="1:8">
      <c r="A125" s="608" t="s">
        <v>2914</v>
      </c>
      <c r="B125" s="625" t="str">
        <f>IF('Part V-Revenues &amp; Expenses'!$L$61=0,"",'Part V-Revenues &amp; Expenses'!$L$61)</f>
        <v/>
      </c>
      <c r="C125" s="608" t="s">
        <v>2915</v>
      </c>
      <c r="D125" s="626" t="s">
        <v>3040</v>
      </c>
    </row>
    <row r="126" spans="1:8" ht="1.9" customHeight="1"/>
    <row r="127" spans="1:8" ht="12.75" customHeight="1">
      <c r="C127" s="605" t="s">
        <v>2879</v>
      </c>
      <c r="D127" s="627" t="s">
        <v>1839</v>
      </c>
      <c r="E127" s="628"/>
      <c r="F127" s="624" t="s">
        <v>2880</v>
      </c>
      <c r="G127" s="624"/>
      <c r="H127" s="624"/>
    </row>
    <row r="128" spans="1:8" ht="12.75" customHeight="1">
      <c r="C128" s="629" t="s">
        <v>1273</v>
      </c>
      <c r="D128" s="627" t="s">
        <v>1841</v>
      </c>
      <c r="E128" s="4729" t="s">
        <v>2919</v>
      </c>
      <c r="F128" s="4729"/>
      <c r="G128" s="4729"/>
      <c r="H128" s="4729"/>
    </row>
    <row r="129" spans="1:8" ht="12.75" customHeight="1">
      <c r="C129" s="1385" t="s">
        <v>3952</v>
      </c>
      <c r="E129" s="4729" t="s">
        <v>3038</v>
      </c>
      <c r="F129" s="4729"/>
      <c r="G129" s="4729"/>
      <c r="H129" s="4729"/>
    </row>
    <row r="130" spans="1:8" ht="12.75" customHeight="1">
      <c r="C130" s="1386"/>
      <c r="D130" s="630" t="s">
        <v>2918</v>
      </c>
      <c r="E130" s="4729" t="s">
        <v>3039</v>
      </c>
      <c r="F130" s="4729"/>
      <c r="G130" s="4729"/>
      <c r="H130" s="4729"/>
    </row>
    <row r="131" spans="1:8" ht="3" customHeight="1">
      <c r="D131" s="627"/>
      <c r="E131" s="1004"/>
      <c r="F131" s="1004"/>
      <c r="G131" s="1004"/>
      <c r="H131" s="1004"/>
    </row>
    <row r="132" spans="1:8" ht="12.75" customHeight="1">
      <c r="C132" s="605" t="s">
        <v>2879</v>
      </c>
      <c r="D132" s="627" t="s">
        <v>1839</v>
      </c>
      <c r="E132" s="628"/>
      <c r="F132" s="624" t="s">
        <v>2880</v>
      </c>
      <c r="G132" s="624"/>
      <c r="H132" s="624"/>
    </row>
    <row r="133" spans="1:8" ht="12.75" customHeight="1">
      <c r="C133" s="629" t="s">
        <v>1273</v>
      </c>
      <c r="D133" s="627" t="s">
        <v>1841</v>
      </c>
      <c r="E133" s="4729" t="s">
        <v>2919</v>
      </c>
      <c r="F133" s="4729"/>
      <c r="G133" s="4729"/>
      <c r="H133" s="4729"/>
    </row>
    <row r="134" spans="1:8" ht="12.75" customHeight="1">
      <c r="C134" s="1385" t="s">
        <v>3952</v>
      </c>
      <c r="E134" s="4729" t="s">
        <v>3038</v>
      </c>
      <c r="F134" s="4729"/>
      <c r="G134" s="4729"/>
      <c r="H134" s="4729"/>
    </row>
    <row r="135" spans="1:8" ht="12.75" customHeight="1">
      <c r="C135" s="1386"/>
      <c r="D135" s="1384" t="s">
        <v>2918</v>
      </c>
      <c r="E135" s="4732" t="s">
        <v>3039</v>
      </c>
      <c r="F135" s="4732"/>
      <c r="G135" s="4732"/>
      <c r="H135" s="4732"/>
    </row>
    <row r="136" spans="1:8" ht="3" customHeight="1">
      <c r="D136" s="627"/>
      <c r="E136" s="1004"/>
      <c r="F136" s="1004"/>
      <c r="G136" s="1004"/>
      <c r="H136" s="1004"/>
    </row>
    <row r="137" spans="1:8" ht="12.75" customHeight="1">
      <c r="C137" s="605" t="s">
        <v>2879</v>
      </c>
      <c r="D137" s="627" t="s">
        <v>1839</v>
      </c>
      <c r="E137" s="628"/>
      <c r="F137" s="624" t="s">
        <v>2880</v>
      </c>
      <c r="G137" s="624"/>
      <c r="H137" s="624"/>
    </row>
    <row r="138" spans="1:8" ht="12.75" customHeight="1">
      <c r="C138" s="629" t="s">
        <v>1273</v>
      </c>
      <c r="D138" s="627" t="s">
        <v>1841</v>
      </c>
      <c r="E138" s="4729" t="s">
        <v>2919</v>
      </c>
      <c r="F138" s="4729"/>
      <c r="G138" s="4729"/>
      <c r="H138" s="4729"/>
    </row>
    <row r="139" spans="1:8" ht="12.75" customHeight="1">
      <c r="C139" s="1385" t="s">
        <v>3952</v>
      </c>
      <c r="E139" s="4729" t="s">
        <v>3038</v>
      </c>
      <c r="F139" s="4729"/>
      <c r="G139" s="4729"/>
      <c r="H139" s="4729"/>
    </row>
    <row r="140" spans="1:8" ht="12.75" customHeight="1">
      <c r="C140" s="1386"/>
      <c r="D140" s="1384" t="s">
        <v>2918</v>
      </c>
      <c r="E140" s="4732" t="s">
        <v>3039</v>
      </c>
      <c r="F140" s="4732"/>
      <c r="G140" s="4732"/>
      <c r="H140" s="4732"/>
    </row>
    <row r="141" spans="1:8" ht="6" customHeight="1">
      <c r="D141" s="627"/>
      <c r="E141" s="1004"/>
      <c r="F141" s="1004"/>
      <c r="G141" s="1004"/>
      <c r="H141" s="1004"/>
    </row>
    <row r="142" spans="1:8">
      <c r="A142" s="608" t="s">
        <v>2914</v>
      </c>
      <c r="B142" s="625" t="str">
        <f>IF('Part V-Revenues &amp; Expenses'!$M$61=0,"",'Part V-Revenues &amp; Expenses'!$M$61)</f>
        <v/>
      </c>
      <c r="C142" s="608" t="s">
        <v>2916</v>
      </c>
      <c r="D142" s="626" t="s">
        <v>3041</v>
      </c>
    </row>
    <row r="143" spans="1:8" ht="1.9" customHeight="1"/>
    <row r="144" spans="1:8" ht="12.75" customHeight="1">
      <c r="C144" s="605" t="s">
        <v>2879</v>
      </c>
      <c r="D144" s="627" t="s">
        <v>1839</v>
      </c>
      <c r="E144" s="628"/>
      <c r="F144" s="624" t="s">
        <v>2880</v>
      </c>
      <c r="G144" s="624"/>
      <c r="H144" s="624"/>
    </row>
    <row r="145" spans="1:8" ht="12.75" customHeight="1">
      <c r="C145" s="629" t="s">
        <v>1273</v>
      </c>
      <c r="D145" s="627" t="s">
        <v>1841</v>
      </c>
      <c r="E145" s="4729" t="s">
        <v>2919</v>
      </c>
      <c r="F145" s="4729"/>
      <c r="G145" s="4729"/>
      <c r="H145" s="4729"/>
    </row>
    <row r="146" spans="1:8" ht="12.75" customHeight="1">
      <c r="C146" s="1385" t="s">
        <v>3952</v>
      </c>
      <c r="E146" s="4729" t="s">
        <v>3038</v>
      </c>
      <c r="F146" s="4729"/>
      <c r="G146" s="4729"/>
      <c r="H146" s="4729"/>
    </row>
    <row r="147" spans="1:8" ht="12.75" customHeight="1">
      <c r="C147" s="1386"/>
      <c r="D147" s="630" t="s">
        <v>2918</v>
      </c>
      <c r="E147" s="4729" t="s">
        <v>3039</v>
      </c>
      <c r="F147" s="4729"/>
      <c r="G147" s="4729"/>
      <c r="H147" s="4729"/>
    </row>
    <row r="148" spans="1:8" ht="3" customHeight="1">
      <c r="D148" s="627"/>
      <c r="E148" s="1004"/>
      <c r="F148" s="1004"/>
      <c r="G148" s="1004"/>
      <c r="H148" s="1004"/>
    </row>
    <row r="149" spans="1:8" ht="12.75" customHeight="1">
      <c r="C149" s="605" t="s">
        <v>2879</v>
      </c>
      <c r="D149" s="627" t="s">
        <v>1839</v>
      </c>
      <c r="E149" s="628"/>
      <c r="F149" s="624" t="s">
        <v>2880</v>
      </c>
      <c r="G149" s="624"/>
      <c r="H149" s="624"/>
    </row>
    <row r="150" spans="1:8" ht="12.75" customHeight="1">
      <c r="C150" s="629" t="s">
        <v>1273</v>
      </c>
      <c r="D150" s="627" t="s">
        <v>1841</v>
      </c>
      <c r="E150" s="4729" t="s">
        <v>2919</v>
      </c>
      <c r="F150" s="4729"/>
      <c r="G150" s="4729"/>
      <c r="H150" s="4729"/>
    </row>
    <row r="151" spans="1:8" ht="12.75" customHeight="1">
      <c r="C151" s="1385" t="s">
        <v>3952</v>
      </c>
      <c r="E151" s="4729" t="s">
        <v>3038</v>
      </c>
      <c r="F151" s="4729"/>
      <c r="G151" s="4729"/>
      <c r="H151" s="4729"/>
    </row>
    <row r="152" spans="1:8" ht="12.75" customHeight="1">
      <c r="C152" s="1386"/>
      <c r="D152" s="1384" t="s">
        <v>2918</v>
      </c>
      <c r="E152" s="4732" t="s">
        <v>3039</v>
      </c>
      <c r="F152" s="4732"/>
      <c r="G152" s="4732"/>
      <c r="H152" s="4732"/>
    </row>
    <row r="153" spans="1:8" ht="3" customHeight="1">
      <c r="D153" s="627"/>
      <c r="E153" s="1004"/>
      <c r="F153" s="1004"/>
      <c r="G153" s="1004"/>
      <c r="H153" s="1004"/>
    </row>
    <row r="154" spans="1:8" ht="12.75" customHeight="1">
      <c r="C154" s="605" t="s">
        <v>2879</v>
      </c>
      <c r="D154" s="627" t="s">
        <v>1839</v>
      </c>
      <c r="E154" s="628"/>
      <c r="F154" s="624" t="s">
        <v>2880</v>
      </c>
      <c r="G154" s="624"/>
      <c r="H154" s="624"/>
    </row>
    <row r="155" spans="1:8" ht="12.75" customHeight="1">
      <c r="C155" s="629" t="s">
        <v>1273</v>
      </c>
      <c r="D155" s="627" t="s">
        <v>1841</v>
      </c>
      <c r="E155" s="4729" t="s">
        <v>2919</v>
      </c>
      <c r="F155" s="4729"/>
      <c r="G155" s="4729"/>
      <c r="H155" s="4729"/>
    </row>
    <row r="156" spans="1:8" ht="12.75" customHeight="1">
      <c r="C156" s="1385" t="s">
        <v>3952</v>
      </c>
      <c r="E156" s="4729" t="s">
        <v>3038</v>
      </c>
      <c r="F156" s="4729"/>
      <c r="G156" s="4729"/>
      <c r="H156" s="4729"/>
    </row>
    <row r="157" spans="1:8" ht="12.75" customHeight="1">
      <c r="C157" s="1386"/>
      <c r="D157" s="1384" t="s">
        <v>2918</v>
      </c>
      <c r="E157" s="4732" t="s">
        <v>3039</v>
      </c>
      <c r="F157" s="4732"/>
      <c r="G157" s="4732"/>
      <c r="H157" s="4732"/>
    </row>
    <row r="158" spans="1:8" ht="6" customHeight="1">
      <c r="D158" s="627"/>
      <c r="E158" s="1004"/>
      <c r="F158" s="1004"/>
      <c r="G158" s="1004"/>
      <c r="H158" s="1004"/>
    </row>
    <row r="159" spans="1:8">
      <c r="A159" s="608" t="s">
        <v>2914</v>
      </c>
      <c r="B159" s="625" t="str">
        <f>IF('Part V-Revenues &amp; Expenses'!$N$61=0,"",'Part V-Revenues &amp; Expenses'!$N$61)</f>
        <v/>
      </c>
      <c r="C159" s="608" t="s">
        <v>2917</v>
      </c>
      <c r="D159" s="626" t="s">
        <v>3042</v>
      </c>
    </row>
    <row r="160" spans="1:8" ht="1.9" customHeight="1"/>
    <row r="161" spans="1:8" ht="12.75" customHeight="1">
      <c r="C161" s="605" t="s">
        <v>2879</v>
      </c>
      <c r="D161" s="627" t="s">
        <v>1839</v>
      </c>
      <c r="E161" s="628"/>
      <c r="F161" s="624" t="s">
        <v>2880</v>
      </c>
      <c r="G161" s="624"/>
      <c r="H161" s="624"/>
    </row>
    <row r="162" spans="1:8" ht="12.75" customHeight="1">
      <c r="C162" s="629" t="s">
        <v>1273</v>
      </c>
      <c r="D162" s="627" t="s">
        <v>1841</v>
      </c>
      <c r="E162" s="4729" t="s">
        <v>2919</v>
      </c>
      <c r="F162" s="4729"/>
      <c r="G162" s="4729"/>
      <c r="H162" s="4729"/>
    </row>
    <row r="163" spans="1:8" ht="12.75" customHeight="1">
      <c r="C163" s="1385" t="s">
        <v>3952</v>
      </c>
      <c r="E163" s="4729" t="s">
        <v>3038</v>
      </c>
      <c r="F163" s="4729"/>
      <c r="G163" s="4729"/>
      <c r="H163" s="4729"/>
    </row>
    <row r="164" spans="1:8" ht="12.75" customHeight="1">
      <c r="C164" s="1386"/>
      <c r="D164" s="630" t="s">
        <v>2918</v>
      </c>
      <c r="E164" s="4729" t="s">
        <v>3039</v>
      </c>
      <c r="F164" s="4729"/>
      <c r="G164" s="4729"/>
      <c r="H164" s="4729"/>
    </row>
    <row r="165" spans="1:8" ht="3" customHeight="1">
      <c r="D165" s="627"/>
      <c r="E165" s="1004"/>
      <c r="F165" s="1004"/>
      <c r="G165" s="1004"/>
      <c r="H165" s="1004"/>
    </row>
    <row r="166" spans="1:8" ht="12.75" customHeight="1">
      <c r="C166" s="605" t="s">
        <v>2879</v>
      </c>
      <c r="D166" s="627" t="s">
        <v>1839</v>
      </c>
      <c r="E166" s="628"/>
      <c r="F166" s="624" t="s">
        <v>2880</v>
      </c>
      <c r="G166" s="624"/>
      <c r="H166" s="624"/>
    </row>
    <row r="167" spans="1:8" ht="12.75" customHeight="1">
      <c r="C167" s="629" t="s">
        <v>1273</v>
      </c>
      <c r="D167" s="627" t="s">
        <v>1841</v>
      </c>
      <c r="E167" s="4729" t="s">
        <v>2919</v>
      </c>
      <c r="F167" s="4729"/>
      <c r="G167" s="4729"/>
      <c r="H167" s="4729"/>
    </row>
    <row r="168" spans="1:8" ht="12.75" customHeight="1">
      <c r="C168" s="1385" t="s">
        <v>3952</v>
      </c>
      <c r="E168" s="4729" t="s">
        <v>3038</v>
      </c>
      <c r="F168" s="4729"/>
      <c r="G168" s="4729"/>
      <c r="H168" s="4729"/>
    </row>
    <row r="169" spans="1:8" ht="12.75" customHeight="1">
      <c r="C169" s="1386"/>
      <c r="D169" s="1384" t="s">
        <v>2918</v>
      </c>
      <c r="E169" s="4732" t="s">
        <v>3039</v>
      </c>
      <c r="F169" s="4732"/>
      <c r="G169" s="4732"/>
      <c r="H169" s="4732"/>
    </row>
    <row r="170" spans="1:8" ht="3" customHeight="1">
      <c r="D170" s="627"/>
      <c r="E170" s="1004"/>
      <c r="F170" s="1004"/>
      <c r="G170" s="1004"/>
      <c r="H170" s="1004"/>
    </row>
    <row r="171" spans="1:8" ht="12.75" customHeight="1">
      <c r="C171" s="605" t="s">
        <v>2879</v>
      </c>
      <c r="D171" s="627" t="s">
        <v>1839</v>
      </c>
      <c r="E171" s="628"/>
      <c r="F171" s="624" t="s">
        <v>2880</v>
      </c>
      <c r="G171" s="624"/>
      <c r="H171" s="624"/>
    </row>
    <row r="172" spans="1:8" ht="12.75" customHeight="1">
      <c r="C172" s="629" t="s">
        <v>1273</v>
      </c>
      <c r="D172" s="627" t="s">
        <v>1841</v>
      </c>
      <c r="E172" s="4729" t="s">
        <v>2919</v>
      </c>
      <c r="F172" s="4729"/>
      <c r="G172" s="4729"/>
      <c r="H172" s="4729"/>
    </row>
    <row r="173" spans="1:8" ht="12.75" customHeight="1">
      <c r="C173" s="1385" t="s">
        <v>3952</v>
      </c>
      <c r="E173" s="4729" t="s">
        <v>3038</v>
      </c>
      <c r="F173" s="4729"/>
      <c r="G173" s="4729"/>
      <c r="H173" s="4729"/>
    </row>
    <row r="174" spans="1:8" ht="12.75" customHeight="1">
      <c r="C174" s="1386"/>
      <c r="D174" s="1384" t="s">
        <v>2918</v>
      </c>
      <c r="E174" s="4732" t="s">
        <v>3039</v>
      </c>
      <c r="F174" s="4732"/>
      <c r="G174" s="4732"/>
      <c r="H174" s="4732"/>
    </row>
    <row r="175" spans="1:8" ht="6" customHeight="1">
      <c r="D175" s="627"/>
      <c r="E175" s="1004"/>
      <c r="F175" s="1004"/>
      <c r="G175" s="1004"/>
      <c r="H175" s="1004"/>
    </row>
    <row r="176" spans="1:8">
      <c r="A176" s="608" t="s">
        <v>2914</v>
      </c>
      <c r="B176" s="625" t="str">
        <f>IF('Part V-Revenues &amp; Expenses'!$O61=0,"",'Part V-Revenues &amp; Expenses'!$O$61)</f>
        <v/>
      </c>
      <c r="C176" s="608" t="s">
        <v>3950</v>
      </c>
      <c r="D176" s="626" t="s">
        <v>3951</v>
      </c>
    </row>
    <row r="177" spans="1:11" ht="1.9" customHeight="1"/>
    <row r="178" spans="1:11" ht="12.75" customHeight="1">
      <c r="C178" s="605" t="s">
        <v>2879</v>
      </c>
      <c r="D178" s="627" t="s">
        <v>1839</v>
      </c>
      <c r="E178" s="628"/>
      <c r="F178" s="4729" t="s">
        <v>2880</v>
      </c>
      <c r="G178" s="4729"/>
      <c r="H178" s="4729"/>
      <c r="K178" s="431" t="s">
        <v>233</v>
      </c>
    </row>
    <row r="179" spans="1:11" ht="12.75" customHeight="1">
      <c r="C179" s="629" t="s">
        <v>1273</v>
      </c>
      <c r="D179" s="627" t="s">
        <v>1841</v>
      </c>
      <c r="E179" s="4729" t="s">
        <v>2920</v>
      </c>
      <c r="F179" s="4729"/>
      <c r="G179" s="4729"/>
      <c r="H179" s="4729"/>
    </row>
    <row r="180" spans="1:11" ht="12.75" customHeight="1">
      <c r="E180" s="4729" t="s">
        <v>3038</v>
      </c>
      <c r="F180" s="4729"/>
      <c r="G180" s="4729"/>
      <c r="H180" s="4729"/>
    </row>
    <row r="181" spans="1:11" ht="12.75" customHeight="1">
      <c r="D181" s="630" t="s">
        <v>2918</v>
      </c>
      <c r="E181" s="4729" t="s">
        <v>3039</v>
      </c>
      <c r="F181" s="4729"/>
      <c r="G181" s="4729"/>
      <c r="H181" s="4729"/>
    </row>
    <row r="182" spans="1:11" ht="9" customHeight="1" thickBot="1"/>
    <row r="183" spans="1:11" ht="16.149999999999999" customHeight="1" thickBot="1">
      <c r="A183" s="4730">
        <v>40</v>
      </c>
      <c r="B183" s="4731"/>
      <c r="C183" s="1387" t="s">
        <v>974</v>
      </c>
    </row>
    <row r="184" spans="1:11" ht="9" customHeight="1">
      <c r="A184" s="600"/>
    </row>
    <row r="185" spans="1:11" ht="28.15" customHeight="1">
      <c r="A185" s="4729" t="s">
        <v>3956</v>
      </c>
      <c r="B185" s="4729"/>
      <c r="C185" s="4729"/>
      <c r="D185" s="4729"/>
      <c r="E185" s="4729"/>
      <c r="F185" s="4729"/>
      <c r="G185" s="4729"/>
      <c r="H185" s="4729"/>
    </row>
    <row r="186" spans="1:11" ht="9" customHeight="1">
      <c r="A186" s="600"/>
    </row>
    <row r="187" spans="1:11">
      <c r="A187" s="608" t="s">
        <v>2914</v>
      </c>
      <c r="B187" s="625" t="str">
        <f>IF('Part V-Revenues &amp; Expenses'!$K$60=0,"",'Part V-Revenues &amp; Expenses'!$K$60)</f>
        <v/>
      </c>
      <c r="C187" s="608" t="s">
        <v>3947</v>
      </c>
      <c r="D187" s="626" t="s">
        <v>3948</v>
      </c>
    </row>
    <row r="188" spans="1:11" ht="1.9" customHeight="1"/>
    <row r="189" spans="1:11" ht="12.75" customHeight="1">
      <c r="C189" s="605" t="s">
        <v>2879</v>
      </c>
      <c r="D189" s="627" t="s">
        <v>1839</v>
      </c>
      <c r="E189" s="628"/>
      <c r="F189" s="4729" t="s">
        <v>2880</v>
      </c>
      <c r="G189" s="4729"/>
      <c r="H189" s="4729"/>
    </row>
    <row r="190" spans="1:11" ht="12.75" customHeight="1">
      <c r="C190" s="629" t="s">
        <v>1273</v>
      </c>
      <c r="D190" s="627" t="s">
        <v>1841</v>
      </c>
      <c r="E190" s="4729" t="s">
        <v>2919</v>
      </c>
      <c r="F190" s="4729"/>
      <c r="G190" s="4729"/>
      <c r="H190" s="4729"/>
    </row>
    <row r="191" spans="1:11" ht="12.75" customHeight="1">
      <c r="C191" s="1385" t="s">
        <v>3952</v>
      </c>
      <c r="E191" s="4729" t="s">
        <v>3038</v>
      </c>
      <c r="F191" s="4729"/>
      <c r="G191" s="4729"/>
      <c r="H191" s="4729"/>
    </row>
    <row r="192" spans="1:11" ht="12.75" customHeight="1">
      <c r="C192" s="1386"/>
      <c r="D192" s="1384" t="s">
        <v>2918</v>
      </c>
      <c r="E192" s="4732" t="s">
        <v>3039</v>
      </c>
      <c r="F192" s="4732"/>
      <c r="G192" s="4732"/>
      <c r="H192" s="4732"/>
    </row>
    <row r="193" spans="1:8" ht="3" customHeight="1">
      <c r="D193" s="627"/>
      <c r="E193" s="1004"/>
      <c r="F193" s="1004"/>
      <c r="G193" s="1004"/>
      <c r="H193" s="1004"/>
    </row>
    <row r="194" spans="1:8" ht="12.75" customHeight="1">
      <c r="C194" s="605" t="s">
        <v>2879</v>
      </c>
      <c r="D194" s="627" t="s">
        <v>1839</v>
      </c>
      <c r="E194" s="628"/>
      <c r="F194" s="624" t="s">
        <v>2880</v>
      </c>
      <c r="G194" s="624"/>
      <c r="H194" s="624"/>
    </row>
    <row r="195" spans="1:8" ht="12.75" customHeight="1">
      <c r="C195" s="629" t="s">
        <v>1273</v>
      </c>
      <c r="D195" s="627" t="s">
        <v>1841</v>
      </c>
      <c r="E195" s="4729" t="s">
        <v>2919</v>
      </c>
      <c r="F195" s="4729"/>
      <c r="G195" s="4729"/>
      <c r="H195" s="4729"/>
    </row>
    <row r="196" spans="1:8" ht="12.75" customHeight="1">
      <c r="C196" s="1385" t="s">
        <v>3952</v>
      </c>
      <c r="E196" s="4729" t="s">
        <v>3038</v>
      </c>
      <c r="F196" s="4729"/>
      <c r="G196" s="4729"/>
      <c r="H196" s="4729"/>
    </row>
    <row r="197" spans="1:8" ht="12.75" customHeight="1">
      <c r="C197" s="1386"/>
      <c r="D197" s="1384" t="s">
        <v>2918</v>
      </c>
      <c r="E197" s="4732" t="s">
        <v>3039</v>
      </c>
      <c r="F197" s="4732"/>
      <c r="G197" s="4732"/>
      <c r="H197" s="4732"/>
    </row>
    <row r="198" spans="1:8" ht="3" customHeight="1">
      <c r="D198" s="627"/>
      <c r="E198" s="1004"/>
      <c r="F198" s="1004"/>
      <c r="G198" s="1004"/>
      <c r="H198" s="1004"/>
    </row>
    <row r="199" spans="1:8" ht="12.75" customHeight="1">
      <c r="C199" s="605" t="s">
        <v>2879</v>
      </c>
      <c r="D199" s="627" t="s">
        <v>1839</v>
      </c>
      <c r="E199" s="628"/>
      <c r="F199" s="624" t="s">
        <v>2880</v>
      </c>
      <c r="G199" s="624"/>
      <c r="H199" s="624"/>
    </row>
    <row r="200" spans="1:8" ht="12.75" customHeight="1">
      <c r="C200" s="629" t="s">
        <v>1273</v>
      </c>
      <c r="D200" s="627" t="s">
        <v>1841</v>
      </c>
      <c r="E200" s="4729" t="s">
        <v>2919</v>
      </c>
      <c r="F200" s="4729"/>
      <c r="G200" s="4729"/>
      <c r="H200" s="4729"/>
    </row>
    <row r="201" spans="1:8" ht="12.75" customHeight="1">
      <c r="C201" s="1385" t="s">
        <v>3952</v>
      </c>
      <c r="E201" s="4729" t="s">
        <v>3038</v>
      </c>
      <c r="F201" s="4729"/>
      <c r="G201" s="4729"/>
      <c r="H201" s="4729"/>
    </row>
    <row r="202" spans="1:8" ht="12.75" customHeight="1">
      <c r="C202" s="1386"/>
      <c r="D202" s="1384" t="s">
        <v>2918</v>
      </c>
      <c r="E202" s="4732" t="s">
        <v>3039</v>
      </c>
      <c r="F202" s="4732"/>
      <c r="G202" s="4732"/>
      <c r="H202" s="4732"/>
    </row>
    <row r="203" spans="1:8" ht="6" customHeight="1">
      <c r="D203" s="627"/>
      <c r="E203" s="1004"/>
      <c r="F203" s="1004"/>
      <c r="G203" s="1004"/>
      <c r="H203" s="1004"/>
    </row>
    <row r="204" spans="1:8">
      <c r="A204" s="608" t="s">
        <v>2914</v>
      </c>
      <c r="B204" s="625" t="str">
        <f>IF('Part V-Revenues &amp; Expenses'!$L$60=0,"",'Part V-Revenues &amp; Expenses'!$L$60)</f>
        <v/>
      </c>
      <c r="C204" s="608" t="s">
        <v>2915</v>
      </c>
      <c r="D204" s="626" t="s">
        <v>3040</v>
      </c>
    </row>
    <row r="205" spans="1:8" ht="1.9" customHeight="1"/>
    <row r="206" spans="1:8" ht="12.75" customHeight="1">
      <c r="C206" s="605" t="s">
        <v>2879</v>
      </c>
      <c r="D206" s="627" t="s">
        <v>1839</v>
      </c>
      <c r="E206" s="628"/>
      <c r="F206" s="624" t="s">
        <v>2880</v>
      </c>
      <c r="G206" s="624"/>
      <c r="H206" s="624"/>
    </row>
    <row r="207" spans="1:8" ht="12.75" customHeight="1">
      <c r="C207" s="629" t="s">
        <v>1273</v>
      </c>
      <c r="D207" s="627" t="s">
        <v>1841</v>
      </c>
      <c r="E207" s="4729" t="s">
        <v>2919</v>
      </c>
      <c r="F207" s="4729"/>
      <c r="G207" s="4729"/>
      <c r="H207" s="4729"/>
    </row>
    <row r="208" spans="1:8" ht="12.75" customHeight="1">
      <c r="C208" s="1385" t="s">
        <v>3952</v>
      </c>
      <c r="E208" s="4729" t="s">
        <v>3038</v>
      </c>
      <c r="F208" s="4729"/>
      <c r="G208" s="4729"/>
      <c r="H208" s="4729"/>
    </row>
    <row r="209" spans="1:8" ht="12.75" customHeight="1">
      <c r="C209" s="1386"/>
      <c r="D209" s="630" t="s">
        <v>2918</v>
      </c>
      <c r="E209" s="4729" t="s">
        <v>3039</v>
      </c>
      <c r="F209" s="4729"/>
      <c r="G209" s="4729"/>
      <c r="H209" s="4729"/>
    </row>
    <row r="210" spans="1:8" ht="3" customHeight="1">
      <c r="D210" s="627"/>
      <c r="E210" s="1004"/>
      <c r="F210" s="1004"/>
      <c r="G210" s="1004"/>
      <c r="H210" s="1004"/>
    </row>
    <row r="211" spans="1:8" ht="12.75" customHeight="1">
      <c r="C211" s="605" t="s">
        <v>2879</v>
      </c>
      <c r="D211" s="627" t="s">
        <v>1839</v>
      </c>
      <c r="E211" s="628"/>
      <c r="F211" s="624" t="s">
        <v>2880</v>
      </c>
      <c r="G211" s="624"/>
      <c r="H211" s="624"/>
    </row>
    <row r="212" spans="1:8" ht="12.75" customHeight="1">
      <c r="C212" s="629" t="s">
        <v>1273</v>
      </c>
      <c r="D212" s="627" t="s">
        <v>1841</v>
      </c>
      <c r="E212" s="4729" t="s">
        <v>2919</v>
      </c>
      <c r="F212" s="4729"/>
      <c r="G212" s="4729"/>
      <c r="H212" s="4729"/>
    </row>
    <row r="213" spans="1:8" ht="12.75" customHeight="1">
      <c r="C213" s="1385" t="s">
        <v>3952</v>
      </c>
      <c r="E213" s="4729" t="s">
        <v>3038</v>
      </c>
      <c r="F213" s="4729"/>
      <c r="G213" s="4729"/>
      <c r="H213" s="4729"/>
    </row>
    <row r="214" spans="1:8" ht="12.75" customHeight="1">
      <c r="C214" s="1386"/>
      <c r="D214" s="1384" t="s">
        <v>2918</v>
      </c>
      <c r="E214" s="4732" t="s">
        <v>3039</v>
      </c>
      <c r="F214" s="4732"/>
      <c r="G214" s="4732"/>
      <c r="H214" s="4732"/>
    </row>
    <row r="215" spans="1:8" ht="3" customHeight="1">
      <c r="D215" s="627"/>
      <c r="E215" s="1004"/>
      <c r="F215" s="1004"/>
      <c r="G215" s="1004"/>
      <c r="H215" s="1004"/>
    </row>
    <row r="216" spans="1:8" ht="12.75" customHeight="1">
      <c r="C216" s="605" t="s">
        <v>2879</v>
      </c>
      <c r="D216" s="627" t="s">
        <v>1839</v>
      </c>
      <c r="E216" s="628"/>
      <c r="F216" s="624" t="s">
        <v>2880</v>
      </c>
      <c r="G216" s="624"/>
      <c r="H216" s="624"/>
    </row>
    <row r="217" spans="1:8" ht="12.75" customHeight="1">
      <c r="C217" s="629" t="s">
        <v>1273</v>
      </c>
      <c r="D217" s="627" t="s">
        <v>1841</v>
      </c>
      <c r="E217" s="4729" t="s">
        <v>2919</v>
      </c>
      <c r="F217" s="4729"/>
      <c r="G217" s="4729"/>
      <c r="H217" s="4729"/>
    </row>
    <row r="218" spans="1:8" ht="12.75" customHeight="1">
      <c r="C218" s="1385" t="s">
        <v>3952</v>
      </c>
      <c r="E218" s="4729" t="s">
        <v>3038</v>
      </c>
      <c r="F218" s="4729"/>
      <c r="G218" s="4729"/>
      <c r="H218" s="4729"/>
    </row>
    <row r="219" spans="1:8" ht="12.75" customHeight="1">
      <c r="C219" s="1386"/>
      <c r="D219" s="1384" t="s">
        <v>2918</v>
      </c>
      <c r="E219" s="4732" t="s">
        <v>3039</v>
      </c>
      <c r="F219" s="4732"/>
      <c r="G219" s="4732"/>
      <c r="H219" s="4732"/>
    </row>
    <row r="220" spans="1:8" ht="6" customHeight="1">
      <c r="D220" s="627"/>
      <c r="E220" s="1004"/>
      <c r="F220" s="1004"/>
      <c r="G220" s="1004"/>
      <c r="H220" s="1004"/>
    </row>
    <row r="221" spans="1:8">
      <c r="A221" s="608" t="s">
        <v>2914</v>
      </c>
      <c r="B221" s="625" t="str">
        <f>IF('Part V-Revenues &amp; Expenses'!$M$60=0,"",'Part V-Revenues &amp; Expenses'!$M$60)</f>
        <v/>
      </c>
      <c r="C221" s="608" t="s">
        <v>2916</v>
      </c>
      <c r="D221" s="626" t="s">
        <v>3041</v>
      </c>
    </row>
    <row r="222" spans="1:8" ht="1.9" customHeight="1"/>
    <row r="223" spans="1:8" ht="12.75" customHeight="1">
      <c r="C223" s="605" t="s">
        <v>2879</v>
      </c>
      <c r="D223" s="627" t="s">
        <v>1839</v>
      </c>
      <c r="E223" s="628"/>
      <c r="F223" s="624" t="s">
        <v>2880</v>
      </c>
      <c r="G223" s="624"/>
      <c r="H223" s="624"/>
    </row>
    <row r="224" spans="1:8" ht="12.75" customHeight="1">
      <c r="C224" s="629" t="s">
        <v>1273</v>
      </c>
      <c r="D224" s="627" t="s">
        <v>1841</v>
      </c>
      <c r="E224" s="4729" t="s">
        <v>2919</v>
      </c>
      <c r="F224" s="4729"/>
      <c r="G224" s="4729"/>
      <c r="H224" s="4729"/>
    </row>
    <row r="225" spans="1:8" ht="12.75" customHeight="1">
      <c r="C225" s="1385" t="s">
        <v>3952</v>
      </c>
      <c r="E225" s="4729" t="s">
        <v>3038</v>
      </c>
      <c r="F225" s="4729"/>
      <c r="G225" s="4729"/>
      <c r="H225" s="4729"/>
    </row>
    <row r="226" spans="1:8" ht="12.75" customHeight="1">
      <c r="C226" s="1386"/>
      <c r="D226" s="630" t="s">
        <v>2918</v>
      </c>
      <c r="E226" s="4729" t="s">
        <v>3039</v>
      </c>
      <c r="F226" s="4729"/>
      <c r="G226" s="4729"/>
      <c r="H226" s="4729"/>
    </row>
    <row r="227" spans="1:8" ht="3" customHeight="1">
      <c r="D227" s="627"/>
      <c r="E227" s="1004"/>
      <c r="F227" s="1004"/>
      <c r="G227" s="1004"/>
      <c r="H227" s="1004"/>
    </row>
    <row r="228" spans="1:8" ht="12.75" customHeight="1">
      <c r="C228" s="605" t="s">
        <v>2879</v>
      </c>
      <c r="D228" s="627" t="s">
        <v>1839</v>
      </c>
      <c r="E228" s="628"/>
      <c r="F228" s="624" t="s">
        <v>2880</v>
      </c>
      <c r="G228" s="624"/>
      <c r="H228" s="624"/>
    </row>
    <row r="229" spans="1:8" ht="12.75" customHeight="1">
      <c r="C229" s="629" t="s">
        <v>1273</v>
      </c>
      <c r="D229" s="627" t="s">
        <v>1841</v>
      </c>
      <c r="E229" s="4729" t="s">
        <v>2919</v>
      </c>
      <c r="F229" s="4729"/>
      <c r="G229" s="4729"/>
      <c r="H229" s="4729"/>
    </row>
    <row r="230" spans="1:8" ht="12.75" customHeight="1">
      <c r="C230" s="1385" t="s">
        <v>3952</v>
      </c>
      <c r="E230" s="4729" t="s">
        <v>3038</v>
      </c>
      <c r="F230" s="4729"/>
      <c r="G230" s="4729"/>
      <c r="H230" s="4729"/>
    </row>
    <row r="231" spans="1:8" ht="12.75" customHeight="1">
      <c r="C231" s="1386"/>
      <c r="D231" s="1384" t="s">
        <v>2918</v>
      </c>
      <c r="E231" s="4732" t="s">
        <v>3039</v>
      </c>
      <c r="F231" s="4732"/>
      <c r="G231" s="4732"/>
      <c r="H231" s="4732"/>
    </row>
    <row r="232" spans="1:8" ht="3" customHeight="1">
      <c r="D232" s="627"/>
      <c r="E232" s="1004"/>
      <c r="F232" s="1004"/>
      <c r="G232" s="1004"/>
      <c r="H232" s="1004"/>
    </row>
    <row r="233" spans="1:8" ht="12.75" customHeight="1">
      <c r="C233" s="605" t="s">
        <v>2879</v>
      </c>
      <c r="D233" s="627" t="s">
        <v>1839</v>
      </c>
      <c r="E233" s="628"/>
      <c r="F233" s="624" t="s">
        <v>2880</v>
      </c>
      <c r="G233" s="624"/>
      <c r="H233" s="624"/>
    </row>
    <row r="234" spans="1:8" ht="12.75" customHeight="1">
      <c r="C234" s="629" t="s">
        <v>1273</v>
      </c>
      <c r="D234" s="627" t="s">
        <v>1841</v>
      </c>
      <c r="E234" s="4729" t="s">
        <v>2919</v>
      </c>
      <c r="F234" s="4729"/>
      <c r="G234" s="4729"/>
      <c r="H234" s="4729"/>
    </row>
    <row r="235" spans="1:8" ht="12.75" customHeight="1">
      <c r="C235" s="1385" t="s">
        <v>3952</v>
      </c>
      <c r="E235" s="4729" t="s">
        <v>3038</v>
      </c>
      <c r="F235" s="4729"/>
      <c r="G235" s="4729"/>
      <c r="H235" s="4729"/>
    </row>
    <row r="236" spans="1:8" ht="12.75" customHeight="1">
      <c r="C236" s="1386"/>
      <c r="D236" s="1384" t="s">
        <v>2918</v>
      </c>
      <c r="E236" s="4732" t="s">
        <v>3039</v>
      </c>
      <c r="F236" s="4732"/>
      <c r="G236" s="4732"/>
      <c r="H236" s="4732"/>
    </row>
    <row r="237" spans="1:8" ht="6" customHeight="1">
      <c r="D237" s="627"/>
      <c r="E237" s="1004"/>
      <c r="F237" s="1004"/>
      <c r="G237" s="1004"/>
      <c r="H237" s="1004"/>
    </row>
    <row r="238" spans="1:8">
      <c r="A238" s="608" t="s">
        <v>2914</v>
      </c>
      <c r="B238" s="625" t="str">
        <f>IF('Part V-Revenues &amp; Expenses'!$N$60=0,"",'Part V-Revenues &amp; Expenses'!$N$60)</f>
        <v/>
      </c>
      <c r="C238" s="608" t="s">
        <v>2917</v>
      </c>
      <c r="D238" s="626" t="s">
        <v>3042</v>
      </c>
    </row>
    <row r="239" spans="1:8" ht="1.9" customHeight="1"/>
    <row r="240" spans="1:8" ht="12.75" customHeight="1">
      <c r="C240" s="605" t="s">
        <v>2879</v>
      </c>
      <c r="D240" s="627" t="s">
        <v>1839</v>
      </c>
      <c r="E240" s="628"/>
      <c r="F240" s="624" t="s">
        <v>2880</v>
      </c>
      <c r="G240" s="624"/>
      <c r="H240" s="624"/>
    </row>
    <row r="241" spans="1:8" ht="12.75" customHeight="1">
      <c r="C241" s="629" t="s">
        <v>1273</v>
      </c>
      <c r="D241" s="627" t="s">
        <v>1841</v>
      </c>
      <c r="E241" s="4729" t="s">
        <v>2919</v>
      </c>
      <c r="F241" s="4729"/>
      <c r="G241" s="4729"/>
      <c r="H241" s="4729"/>
    </row>
    <row r="242" spans="1:8" ht="12.75" customHeight="1">
      <c r="C242" s="1385" t="s">
        <v>3952</v>
      </c>
      <c r="E242" s="4729" t="s">
        <v>3038</v>
      </c>
      <c r="F242" s="4729"/>
      <c r="G242" s="4729"/>
      <c r="H242" s="4729"/>
    </row>
    <row r="243" spans="1:8" ht="12.75" customHeight="1">
      <c r="C243" s="1386"/>
      <c r="D243" s="630" t="s">
        <v>2918</v>
      </c>
      <c r="E243" s="4729" t="s">
        <v>3039</v>
      </c>
      <c r="F243" s="4729"/>
      <c r="G243" s="4729"/>
      <c r="H243" s="4729"/>
    </row>
    <row r="244" spans="1:8" ht="3" customHeight="1">
      <c r="D244" s="627"/>
      <c r="E244" s="1004"/>
      <c r="F244" s="1004"/>
      <c r="G244" s="1004"/>
      <c r="H244" s="1004"/>
    </row>
    <row r="245" spans="1:8" ht="12.75" customHeight="1">
      <c r="C245" s="605" t="s">
        <v>2879</v>
      </c>
      <c r="D245" s="627" t="s">
        <v>1839</v>
      </c>
      <c r="E245" s="628"/>
      <c r="F245" s="624" t="s">
        <v>2880</v>
      </c>
      <c r="G245" s="624"/>
      <c r="H245" s="624"/>
    </row>
    <row r="246" spans="1:8" ht="12.75" customHeight="1">
      <c r="C246" s="629" t="s">
        <v>1273</v>
      </c>
      <c r="D246" s="627" t="s">
        <v>1841</v>
      </c>
      <c r="E246" s="4729" t="s">
        <v>2919</v>
      </c>
      <c r="F246" s="4729"/>
      <c r="G246" s="4729"/>
      <c r="H246" s="4729"/>
    </row>
    <row r="247" spans="1:8" ht="12.75" customHeight="1">
      <c r="C247" s="1385" t="s">
        <v>3952</v>
      </c>
      <c r="E247" s="4729" t="s">
        <v>3038</v>
      </c>
      <c r="F247" s="4729"/>
      <c r="G247" s="4729"/>
      <c r="H247" s="4729"/>
    </row>
    <row r="248" spans="1:8" ht="12.75" customHeight="1">
      <c r="C248" s="1386"/>
      <c r="D248" s="1384" t="s">
        <v>2918</v>
      </c>
      <c r="E248" s="4732" t="s">
        <v>3039</v>
      </c>
      <c r="F248" s="4732"/>
      <c r="G248" s="4732"/>
      <c r="H248" s="4732"/>
    </row>
    <row r="249" spans="1:8" ht="3" customHeight="1">
      <c r="D249" s="627"/>
      <c r="E249" s="1004"/>
      <c r="F249" s="1004"/>
      <c r="G249" s="1004"/>
      <c r="H249" s="1004"/>
    </row>
    <row r="250" spans="1:8" ht="12.75" customHeight="1">
      <c r="C250" s="605" t="s">
        <v>2879</v>
      </c>
      <c r="D250" s="627" t="s">
        <v>1839</v>
      </c>
      <c r="E250" s="628"/>
      <c r="F250" s="624" t="s">
        <v>2880</v>
      </c>
      <c r="G250" s="624"/>
      <c r="H250" s="624"/>
    </row>
    <row r="251" spans="1:8" ht="12.75" customHeight="1">
      <c r="C251" s="629" t="s">
        <v>1273</v>
      </c>
      <c r="D251" s="627" t="s">
        <v>1841</v>
      </c>
      <c r="E251" s="4729" t="s">
        <v>2919</v>
      </c>
      <c r="F251" s="4729"/>
      <c r="G251" s="4729"/>
      <c r="H251" s="4729"/>
    </row>
    <row r="252" spans="1:8" ht="12.75" customHeight="1">
      <c r="C252" s="1385" t="s">
        <v>3952</v>
      </c>
      <c r="E252" s="4729" t="s">
        <v>3038</v>
      </c>
      <c r="F252" s="4729"/>
      <c r="G252" s="4729"/>
      <c r="H252" s="4729"/>
    </row>
    <row r="253" spans="1:8" ht="12.75" customHeight="1">
      <c r="C253" s="1386"/>
      <c r="D253" s="1384" t="s">
        <v>2918</v>
      </c>
      <c r="E253" s="4732" t="s">
        <v>3039</v>
      </c>
      <c r="F253" s="4732"/>
      <c r="G253" s="4732"/>
      <c r="H253" s="4732"/>
    </row>
    <row r="254" spans="1:8" ht="6" customHeight="1">
      <c r="D254" s="627"/>
      <c r="E254" s="1004"/>
      <c r="F254" s="1004"/>
      <c r="G254" s="1004"/>
      <c r="H254" s="1004"/>
    </row>
    <row r="255" spans="1:8">
      <c r="A255" s="608" t="s">
        <v>2914</v>
      </c>
      <c r="B255" s="625" t="str">
        <f>IF('Part V-Revenues &amp; Expenses'!$O$60=0,"",'Part V-Revenues &amp; Expenses'!$O$60)</f>
        <v/>
      </c>
      <c r="C255" s="608" t="s">
        <v>3950</v>
      </c>
      <c r="D255" s="626" t="s">
        <v>3951</v>
      </c>
    </row>
    <row r="256" spans="1:8" ht="1.9" customHeight="1"/>
    <row r="257" spans="1:11" ht="12.75" customHeight="1">
      <c r="C257" s="605" t="s">
        <v>2879</v>
      </c>
      <c r="D257" s="627" t="s">
        <v>1839</v>
      </c>
      <c r="E257" s="628"/>
      <c r="F257" s="4729" t="s">
        <v>2880</v>
      </c>
      <c r="G257" s="4729"/>
      <c r="H257" s="4729"/>
      <c r="K257" s="431" t="s">
        <v>233</v>
      </c>
    </row>
    <row r="258" spans="1:11" ht="12.75" customHeight="1">
      <c r="C258" s="629" t="s">
        <v>1273</v>
      </c>
      <c r="D258" s="627" t="s">
        <v>1841</v>
      </c>
      <c r="E258" s="4729" t="s">
        <v>2920</v>
      </c>
      <c r="F258" s="4729"/>
      <c r="G258" s="4729"/>
      <c r="H258" s="4729"/>
    </row>
    <row r="259" spans="1:11" ht="12.75" customHeight="1">
      <c r="E259" s="4729" t="s">
        <v>3038</v>
      </c>
      <c r="F259" s="4729"/>
      <c r="G259" s="4729"/>
      <c r="H259" s="4729"/>
    </row>
    <row r="260" spans="1:11" ht="12.75" customHeight="1">
      <c r="D260" s="630" t="s">
        <v>2918</v>
      </c>
      <c r="E260" s="4729" t="s">
        <v>3039</v>
      </c>
      <c r="F260" s="4729"/>
      <c r="G260" s="4729"/>
      <c r="H260" s="4729"/>
    </row>
    <row r="261" spans="1:11" ht="9" customHeight="1" thickBot="1"/>
    <row r="262" spans="1:11" ht="16.149999999999999" customHeight="1" thickBot="1">
      <c r="A262" s="4730">
        <v>50</v>
      </c>
      <c r="B262" s="4731"/>
      <c r="C262" s="1387" t="s">
        <v>974</v>
      </c>
    </row>
    <row r="263" spans="1:11" ht="9" customHeight="1">
      <c r="A263" s="600"/>
    </row>
    <row r="264" spans="1:11" ht="28.15" customHeight="1">
      <c r="A264" s="4729" t="s">
        <v>3953</v>
      </c>
      <c r="B264" s="4729"/>
      <c r="C264" s="4729"/>
      <c r="D264" s="4729"/>
      <c r="E264" s="4729"/>
      <c r="F264" s="4729"/>
      <c r="G264" s="4729"/>
      <c r="H264" s="4729"/>
    </row>
    <row r="265" spans="1:11" ht="9" customHeight="1">
      <c r="A265" s="600"/>
    </row>
    <row r="266" spans="1:11">
      <c r="A266" s="608" t="s">
        <v>2914</v>
      </c>
      <c r="B266" s="625" t="str">
        <f>IF('Part V-Revenues &amp; Expenses'!$K$59=0,"",'Part V-Revenues &amp; Expenses'!$K$59)</f>
        <v/>
      </c>
      <c r="C266" s="608" t="s">
        <v>3947</v>
      </c>
      <c r="D266" s="626" t="s">
        <v>3948</v>
      </c>
    </row>
    <row r="267" spans="1:11" ht="1.9" customHeight="1"/>
    <row r="268" spans="1:11" ht="12.75" customHeight="1">
      <c r="C268" s="605" t="s">
        <v>2879</v>
      </c>
      <c r="D268" s="627" t="s">
        <v>1839</v>
      </c>
      <c r="E268" s="628"/>
      <c r="F268" s="4729" t="s">
        <v>2880</v>
      </c>
      <c r="G268" s="4729"/>
      <c r="H268" s="4729"/>
    </row>
    <row r="269" spans="1:11" ht="12.75" customHeight="1">
      <c r="C269" s="629" t="s">
        <v>1273</v>
      </c>
      <c r="D269" s="627" t="s">
        <v>1841</v>
      </c>
      <c r="E269" s="4729" t="s">
        <v>2919</v>
      </c>
      <c r="F269" s="4729"/>
      <c r="G269" s="4729"/>
      <c r="H269" s="4729"/>
    </row>
    <row r="270" spans="1:11" ht="12.75" customHeight="1">
      <c r="C270" s="1385" t="s">
        <v>3952</v>
      </c>
      <c r="E270" s="4729" t="s">
        <v>3038</v>
      </c>
      <c r="F270" s="4729"/>
      <c r="G270" s="4729"/>
      <c r="H270" s="4729"/>
    </row>
    <row r="271" spans="1:11" ht="12.75" customHeight="1">
      <c r="C271" s="1386"/>
      <c r="D271" s="1384" t="s">
        <v>2918</v>
      </c>
      <c r="E271" s="4732" t="s">
        <v>3039</v>
      </c>
      <c r="F271" s="4732"/>
      <c r="G271" s="4732"/>
      <c r="H271" s="4732"/>
    </row>
    <row r="272" spans="1:11" ht="3" customHeight="1">
      <c r="D272" s="627"/>
      <c r="E272" s="1004"/>
      <c r="F272" s="1004"/>
      <c r="G272" s="1004"/>
      <c r="H272" s="1004"/>
    </row>
    <row r="273" spans="1:8" ht="12.75" customHeight="1">
      <c r="C273" s="605" t="s">
        <v>2879</v>
      </c>
      <c r="D273" s="627" t="s">
        <v>1839</v>
      </c>
      <c r="E273" s="628"/>
      <c r="F273" s="624" t="s">
        <v>2880</v>
      </c>
      <c r="G273" s="624"/>
      <c r="H273" s="624"/>
    </row>
    <row r="274" spans="1:8" ht="12.75" customHeight="1">
      <c r="C274" s="629" t="s">
        <v>1273</v>
      </c>
      <c r="D274" s="627" t="s">
        <v>1841</v>
      </c>
      <c r="E274" s="4729" t="s">
        <v>2919</v>
      </c>
      <c r="F274" s="4729"/>
      <c r="G274" s="4729"/>
      <c r="H274" s="4729"/>
    </row>
    <row r="275" spans="1:8" ht="12.75" customHeight="1">
      <c r="C275" s="1385" t="s">
        <v>3952</v>
      </c>
      <c r="E275" s="4729" t="s">
        <v>3038</v>
      </c>
      <c r="F275" s="4729"/>
      <c r="G275" s="4729"/>
      <c r="H275" s="4729"/>
    </row>
    <row r="276" spans="1:8" ht="12.75" customHeight="1">
      <c r="C276" s="1386"/>
      <c r="D276" s="1384" t="s">
        <v>2918</v>
      </c>
      <c r="E276" s="4732" t="s">
        <v>3039</v>
      </c>
      <c r="F276" s="4732"/>
      <c r="G276" s="4732"/>
      <c r="H276" s="4732"/>
    </row>
    <row r="277" spans="1:8" ht="3" customHeight="1">
      <c r="D277" s="627"/>
      <c r="E277" s="1004"/>
      <c r="F277" s="1004"/>
      <c r="G277" s="1004"/>
      <c r="H277" s="1004"/>
    </row>
    <row r="278" spans="1:8" ht="12.75" customHeight="1">
      <c r="C278" s="605" t="s">
        <v>2879</v>
      </c>
      <c r="D278" s="627" t="s">
        <v>1839</v>
      </c>
      <c r="E278" s="628"/>
      <c r="F278" s="624" t="s">
        <v>2880</v>
      </c>
      <c r="G278" s="624"/>
      <c r="H278" s="624"/>
    </row>
    <row r="279" spans="1:8" ht="12.75" customHeight="1">
      <c r="C279" s="629" t="s">
        <v>1273</v>
      </c>
      <c r="D279" s="627" t="s">
        <v>1841</v>
      </c>
      <c r="E279" s="4729" t="s">
        <v>2919</v>
      </c>
      <c r="F279" s="4729"/>
      <c r="G279" s="4729"/>
      <c r="H279" s="4729"/>
    </row>
    <row r="280" spans="1:8" ht="12.75" customHeight="1">
      <c r="C280" s="1385" t="s">
        <v>3952</v>
      </c>
      <c r="E280" s="4729" t="s">
        <v>3038</v>
      </c>
      <c r="F280" s="4729"/>
      <c r="G280" s="4729"/>
      <c r="H280" s="4729"/>
    </row>
    <row r="281" spans="1:8" ht="12.75" customHeight="1">
      <c r="C281" s="1386"/>
      <c r="D281" s="1384" t="s">
        <v>2918</v>
      </c>
      <c r="E281" s="4732" t="s">
        <v>3039</v>
      </c>
      <c r="F281" s="4732"/>
      <c r="G281" s="4732"/>
      <c r="H281" s="4732"/>
    </row>
    <row r="282" spans="1:8" ht="6" customHeight="1">
      <c r="D282" s="627"/>
      <c r="E282" s="1004"/>
      <c r="F282" s="1004"/>
      <c r="G282" s="1004"/>
      <c r="H282" s="1004"/>
    </row>
    <row r="283" spans="1:8">
      <c r="A283" s="608" t="s">
        <v>2914</v>
      </c>
      <c r="B283" s="625">
        <f>IF('Part V-Revenues &amp; Expenses'!$L$59=0,"",'Part V-Revenues &amp; Expenses'!$L$59)</f>
        <v>18</v>
      </c>
      <c r="C283" s="608" t="s">
        <v>2915</v>
      </c>
      <c r="D283" s="626" t="s">
        <v>3040</v>
      </c>
    </row>
    <row r="284" spans="1:8" ht="1.9" customHeight="1"/>
    <row r="285" spans="1:8" ht="12.75" customHeight="1">
      <c r="C285" s="605" t="s">
        <v>2879</v>
      </c>
      <c r="D285" s="627" t="s">
        <v>1839</v>
      </c>
      <c r="E285" s="628"/>
      <c r="F285" s="624" t="s">
        <v>2880</v>
      </c>
      <c r="G285" s="624"/>
      <c r="H285" s="624"/>
    </row>
    <row r="286" spans="1:8" ht="12.75" customHeight="1">
      <c r="C286" s="629" t="s">
        <v>1273</v>
      </c>
      <c r="D286" s="627" t="s">
        <v>1841</v>
      </c>
      <c r="E286" s="4729" t="s">
        <v>2919</v>
      </c>
      <c r="F286" s="4729"/>
      <c r="G286" s="4729"/>
      <c r="H286" s="4729"/>
    </row>
    <row r="287" spans="1:8" ht="12.75" customHeight="1">
      <c r="C287" s="1385" t="s">
        <v>3952</v>
      </c>
      <c r="E287" s="4729" t="s">
        <v>3038</v>
      </c>
      <c r="F287" s="4729"/>
      <c r="G287" s="4729"/>
      <c r="H287" s="4729"/>
    </row>
    <row r="288" spans="1:8" ht="12.75" customHeight="1">
      <c r="C288" s="1386"/>
      <c r="D288" s="630" t="s">
        <v>2918</v>
      </c>
      <c r="E288" s="4729" t="s">
        <v>3039</v>
      </c>
      <c r="F288" s="4729"/>
      <c r="G288" s="4729"/>
      <c r="H288" s="4729"/>
    </row>
    <row r="289" spans="1:8" ht="3" customHeight="1">
      <c r="D289" s="627"/>
      <c r="E289" s="1004"/>
      <c r="F289" s="1004"/>
      <c r="G289" s="1004"/>
      <c r="H289" s="1004"/>
    </row>
    <row r="290" spans="1:8" ht="12.75" customHeight="1">
      <c r="C290" s="605" t="s">
        <v>2879</v>
      </c>
      <c r="D290" s="627" t="s">
        <v>1839</v>
      </c>
      <c r="E290" s="628"/>
      <c r="F290" s="624" t="s">
        <v>2880</v>
      </c>
      <c r="G290" s="624"/>
      <c r="H290" s="624"/>
    </row>
    <row r="291" spans="1:8" ht="12.75" customHeight="1">
      <c r="C291" s="629" t="s">
        <v>1273</v>
      </c>
      <c r="D291" s="627" t="s">
        <v>1841</v>
      </c>
      <c r="E291" s="4729" t="s">
        <v>2919</v>
      </c>
      <c r="F291" s="4729"/>
      <c r="G291" s="4729"/>
      <c r="H291" s="4729"/>
    </row>
    <row r="292" spans="1:8" ht="12.75" customHeight="1">
      <c r="C292" s="1385" t="s">
        <v>3952</v>
      </c>
      <c r="E292" s="4729" t="s">
        <v>3038</v>
      </c>
      <c r="F292" s="4729"/>
      <c r="G292" s="4729"/>
      <c r="H292" s="4729"/>
    </row>
    <row r="293" spans="1:8" ht="12.75" customHeight="1">
      <c r="C293" s="1386"/>
      <c r="D293" s="1384" t="s">
        <v>2918</v>
      </c>
      <c r="E293" s="4732" t="s">
        <v>3039</v>
      </c>
      <c r="F293" s="4732"/>
      <c r="G293" s="4732"/>
      <c r="H293" s="4732"/>
    </row>
    <row r="294" spans="1:8" ht="3" customHeight="1">
      <c r="D294" s="627"/>
      <c r="E294" s="1004"/>
      <c r="F294" s="1004"/>
      <c r="G294" s="1004"/>
      <c r="H294" s="1004"/>
    </row>
    <row r="295" spans="1:8" ht="12.75" customHeight="1">
      <c r="C295" s="605" t="s">
        <v>2879</v>
      </c>
      <c r="D295" s="627" t="s">
        <v>1839</v>
      </c>
      <c r="E295" s="628"/>
      <c r="F295" s="624" t="s">
        <v>2880</v>
      </c>
      <c r="G295" s="624"/>
      <c r="H295" s="624"/>
    </row>
    <row r="296" spans="1:8" ht="12.75" customHeight="1">
      <c r="C296" s="629" t="s">
        <v>1273</v>
      </c>
      <c r="D296" s="627" t="s">
        <v>1841</v>
      </c>
      <c r="E296" s="4729" t="s">
        <v>2919</v>
      </c>
      <c r="F296" s="4729"/>
      <c r="G296" s="4729"/>
      <c r="H296" s="4729"/>
    </row>
    <row r="297" spans="1:8" ht="12.75" customHeight="1">
      <c r="C297" s="1385" t="s">
        <v>3952</v>
      </c>
      <c r="E297" s="4729" t="s">
        <v>3038</v>
      </c>
      <c r="F297" s="4729"/>
      <c r="G297" s="4729"/>
      <c r="H297" s="4729"/>
    </row>
    <row r="298" spans="1:8" ht="12.75" customHeight="1">
      <c r="C298" s="1386"/>
      <c r="D298" s="1384" t="s">
        <v>2918</v>
      </c>
      <c r="E298" s="4732" t="s">
        <v>3039</v>
      </c>
      <c r="F298" s="4732"/>
      <c r="G298" s="4732"/>
      <c r="H298" s="4732"/>
    </row>
    <row r="299" spans="1:8" ht="6" customHeight="1">
      <c r="D299" s="627"/>
      <c r="E299" s="1004"/>
      <c r="F299" s="1004"/>
      <c r="G299" s="1004"/>
      <c r="H299" s="1004"/>
    </row>
    <row r="300" spans="1:8">
      <c r="A300" s="608" t="s">
        <v>2914</v>
      </c>
      <c r="B300" s="625">
        <f>IF('Part V-Revenues &amp; Expenses'!$M$59=0,"",'Part V-Revenues &amp; Expenses'!$M$59)</f>
        <v>4</v>
      </c>
      <c r="C300" s="608" t="s">
        <v>2916</v>
      </c>
      <c r="D300" s="626" t="s">
        <v>3041</v>
      </c>
    </row>
    <row r="301" spans="1:8" ht="1.9" customHeight="1"/>
    <row r="302" spans="1:8" ht="12.75" customHeight="1">
      <c r="C302" s="605" t="s">
        <v>2879</v>
      </c>
      <c r="D302" s="627" t="s">
        <v>1839</v>
      </c>
      <c r="E302" s="628"/>
      <c r="F302" s="624" t="s">
        <v>2880</v>
      </c>
      <c r="G302" s="624"/>
      <c r="H302" s="624"/>
    </row>
    <row r="303" spans="1:8" ht="12.75" customHeight="1">
      <c r="C303" s="629" t="s">
        <v>1273</v>
      </c>
      <c r="D303" s="627" t="s">
        <v>1841</v>
      </c>
      <c r="E303" s="4729" t="s">
        <v>2919</v>
      </c>
      <c r="F303" s="4729"/>
      <c r="G303" s="4729"/>
      <c r="H303" s="4729"/>
    </row>
    <row r="304" spans="1:8" ht="12.75" customHeight="1">
      <c r="C304" s="1385" t="s">
        <v>3952</v>
      </c>
      <c r="E304" s="4729" t="s">
        <v>3038</v>
      </c>
      <c r="F304" s="4729"/>
      <c r="G304" s="4729"/>
      <c r="H304" s="4729"/>
    </row>
    <row r="305" spans="1:8" ht="12.75" customHeight="1">
      <c r="C305" s="1386"/>
      <c r="D305" s="630" t="s">
        <v>2918</v>
      </c>
      <c r="E305" s="4729" t="s">
        <v>3039</v>
      </c>
      <c r="F305" s="4729"/>
      <c r="G305" s="4729"/>
      <c r="H305" s="4729"/>
    </row>
    <row r="306" spans="1:8" ht="3" customHeight="1">
      <c r="D306" s="627"/>
      <c r="E306" s="1004"/>
      <c r="F306" s="1004"/>
      <c r="G306" s="1004"/>
      <c r="H306" s="1004"/>
    </row>
    <row r="307" spans="1:8" ht="12.75" customHeight="1">
      <c r="C307" s="605" t="s">
        <v>2879</v>
      </c>
      <c r="D307" s="627" t="s">
        <v>1839</v>
      </c>
      <c r="E307" s="628"/>
      <c r="F307" s="624" t="s">
        <v>2880</v>
      </c>
      <c r="G307" s="624"/>
      <c r="H307" s="624"/>
    </row>
    <row r="308" spans="1:8" ht="12.75" customHeight="1">
      <c r="C308" s="629" t="s">
        <v>1273</v>
      </c>
      <c r="D308" s="627" t="s">
        <v>1841</v>
      </c>
      <c r="E308" s="4729" t="s">
        <v>2919</v>
      </c>
      <c r="F308" s="4729"/>
      <c r="G308" s="4729"/>
      <c r="H308" s="4729"/>
    </row>
    <row r="309" spans="1:8" ht="12.75" customHeight="1">
      <c r="C309" s="1385" t="s">
        <v>3952</v>
      </c>
      <c r="E309" s="4729" t="s">
        <v>3038</v>
      </c>
      <c r="F309" s="4729"/>
      <c r="G309" s="4729"/>
      <c r="H309" s="4729"/>
    </row>
    <row r="310" spans="1:8" ht="12.75" customHeight="1">
      <c r="C310" s="1386"/>
      <c r="D310" s="1384" t="s">
        <v>2918</v>
      </c>
      <c r="E310" s="4732" t="s">
        <v>3039</v>
      </c>
      <c r="F310" s="4732"/>
      <c r="G310" s="4732"/>
      <c r="H310" s="4732"/>
    </row>
    <row r="311" spans="1:8" ht="3" customHeight="1">
      <c r="D311" s="627"/>
      <c r="E311" s="1004"/>
      <c r="F311" s="1004"/>
      <c r="G311" s="1004"/>
      <c r="H311" s="1004"/>
    </row>
    <row r="312" spans="1:8" ht="12.75" customHeight="1">
      <c r="C312" s="605" t="s">
        <v>2879</v>
      </c>
      <c r="D312" s="627" t="s">
        <v>1839</v>
      </c>
      <c r="E312" s="628"/>
      <c r="F312" s="624" t="s">
        <v>2880</v>
      </c>
      <c r="G312" s="624"/>
      <c r="H312" s="624"/>
    </row>
    <row r="313" spans="1:8" ht="12.75" customHeight="1">
      <c r="C313" s="629" t="s">
        <v>1273</v>
      </c>
      <c r="D313" s="627" t="s">
        <v>1841</v>
      </c>
      <c r="E313" s="4729" t="s">
        <v>2919</v>
      </c>
      <c r="F313" s="4729"/>
      <c r="G313" s="4729"/>
      <c r="H313" s="4729"/>
    </row>
    <row r="314" spans="1:8" ht="12.75" customHeight="1">
      <c r="C314" s="1385" t="s">
        <v>3952</v>
      </c>
      <c r="E314" s="4729" t="s">
        <v>3038</v>
      </c>
      <c r="F314" s="4729"/>
      <c r="G314" s="4729"/>
      <c r="H314" s="4729"/>
    </row>
    <row r="315" spans="1:8" ht="12.75" customHeight="1">
      <c r="C315" s="1386"/>
      <c r="D315" s="1384" t="s">
        <v>2918</v>
      </c>
      <c r="E315" s="4732" t="s">
        <v>3039</v>
      </c>
      <c r="F315" s="4732"/>
      <c r="G315" s="4732"/>
      <c r="H315" s="4732"/>
    </row>
    <row r="316" spans="1:8" ht="6" customHeight="1">
      <c r="D316" s="627"/>
      <c r="E316" s="1004"/>
      <c r="F316" s="1004"/>
      <c r="G316" s="1004"/>
      <c r="H316" s="1004"/>
    </row>
    <row r="317" spans="1:8">
      <c r="A317" s="608" t="s">
        <v>2914</v>
      </c>
      <c r="B317" s="625">
        <f>IF('Part V-Revenues &amp; Expenses'!$N$59=0,"",'Part V-Revenues &amp; Expenses'!$N$59)</f>
        <v>3</v>
      </c>
      <c r="C317" s="608" t="s">
        <v>2917</v>
      </c>
      <c r="D317" s="626" t="s">
        <v>3042</v>
      </c>
    </row>
    <row r="318" spans="1:8" ht="1.9" customHeight="1"/>
    <row r="319" spans="1:8" ht="12.75" customHeight="1">
      <c r="C319" s="605" t="s">
        <v>2879</v>
      </c>
      <c r="D319" s="627" t="s">
        <v>1839</v>
      </c>
      <c r="E319" s="628"/>
      <c r="F319" s="624" t="s">
        <v>2880</v>
      </c>
      <c r="G319" s="624"/>
      <c r="H319" s="624"/>
    </row>
    <row r="320" spans="1:8" ht="12.75" customHeight="1">
      <c r="C320" s="629" t="s">
        <v>1273</v>
      </c>
      <c r="D320" s="627" t="s">
        <v>1841</v>
      </c>
      <c r="E320" s="4729" t="s">
        <v>2919</v>
      </c>
      <c r="F320" s="4729"/>
      <c r="G320" s="4729"/>
      <c r="H320" s="4729"/>
    </row>
    <row r="321" spans="1:11" ht="12.75" customHeight="1">
      <c r="C321" s="1385" t="s">
        <v>3952</v>
      </c>
      <c r="E321" s="4729" t="s">
        <v>3038</v>
      </c>
      <c r="F321" s="4729"/>
      <c r="G321" s="4729"/>
      <c r="H321" s="4729"/>
    </row>
    <row r="322" spans="1:11" ht="12.75" customHeight="1">
      <c r="C322" s="1386"/>
      <c r="D322" s="630" t="s">
        <v>2918</v>
      </c>
      <c r="E322" s="4729" t="s">
        <v>3039</v>
      </c>
      <c r="F322" s="4729"/>
      <c r="G322" s="4729"/>
      <c r="H322" s="4729"/>
    </row>
    <row r="323" spans="1:11" ht="3" customHeight="1">
      <c r="D323" s="627"/>
      <c r="E323" s="1004"/>
      <c r="F323" s="1004"/>
      <c r="G323" s="1004"/>
      <c r="H323" s="1004"/>
    </row>
    <row r="324" spans="1:11" ht="12.75" customHeight="1">
      <c r="C324" s="605" t="s">
        <v>2879</v>
      </c>
      <c r="D324" s="627" t="s">
        <v>1839</v>
      </c>
      <c r="E324" s="628"/>
      <c r="F324" s="624" t="s">
        <v>2880</v>
      </c>
      <c r="G324" s="624"/>
      <c r="H324" s="624"/>
    </row>
    <row r="325" spans="1:11" ht="12.75" customHeight="1">
      <c r="C325" s="629" t="s">
        <v>1273</v>
      </c>
      <c r="D325" s="627" t="s">
        <v>1841</v>
      </c>
      <c r="E325" s="4729" t="s">
        <v>2919</v>
      </c>
      <c r="F325" s="4729"/>
      <c r="G325" s="4729"/>
      <c r="H325" s="4729"/>
    </row>
    <row r="326" spans="1:11" ht="12.75" customHeight="1">
      <c r="C326" s="1385" t="s">
        <v>3952</v>
      </c>
      <c r="E326" s="4729" t="s">
        <v>3038</v>
      </c>
      <c r="F326" s="4729"/>
      <c r="G326" s="4729"/>
      <c r="H326" s="4729"/>
    </row>
    <row r="327" spans="1:11" ht="12.75" customHeight="1">
      <c r="C327" s="1386"/>
      <c r="D327" s="1384" t="s">
        <v>2918</v>
      </c>
      <c r="E327" s="4732" t="s">
        <v>3039</v>
      </c>
      <c r="F327" s="4732"/>
      <c r="G327" s="4732"/>
      <c r="H327" s="4732"/>
    </row>
    <row r="328" spans="1:11" ht="3" customHeight="1">
      <c r="D328" s="627"/>
      <c r="E328" s="1004"/>
      <c r="F328" s="1004"/>
      <c r="G328" s="1004"/>
      <c r="H328" s="1004"/>
    </row>
    <row r="329" spans="1:11" ht="12.75" customHeight="1">
      <c r="C329" s="605" t="s">
        <v>2879</v>
      </c>
      <c r="D329" s="627" t="s">
        <v>1839</v>
      </c>
      <c r="E329" s="628"/>
      <c r="F329" s="624" t="s">
        <v>2880</v>
      </c>
      <c r="G329" s="624"/>
      <c r="H329" s="624"/>
    </row>
    <row r="330" spans="1:11" ht="12.75" customHeight="1">
      <c r="C330" s="629" t="s">
        <v>1273</v>
      </c>
      <c r="D330" s="627" t="s">
        <v>1841</v>
      </c>
      <c r="E330" s="4729" t="s">
        <v>2919</v>
      </c>
      <c r="F330" s="4729"/>
      <c r="G330" s="4729"/>
      <c r="H330" s="4729"/>
    </row>
    <row r="331" spans="1:11" ht="12.75" customHeight="1">
      <c r="C331" s="1385" t="s">
        <v>3952</v>
      </c>
      <c r="E331" s="4729" t="s">
        <v>3038</v>
      </c>
      <c r="F331" s="4729"/>
      <c r="G331" s="4729"/>
      <c r="H331" s="4729"/>
    </row>
    <row r="332" spans="1:11" ht="12.75" customHeight="1">
      <c r="C332" s="1386"/>
      <c r="D332" s="1384" t="s">
        <v>2918</v>
      </c>
      <c r="E332" s="4732" t="s">
        <v>3039</v>
      </c>
      <c r="F332" s="4732"/>
      <c r="G332" s="4732"/>
      <c r="H332" s="4732"/>
    </row>
    <row r="333" spans="1:11" ht="6" customHeight="1">
      <c r="D333" s="627"/>
      <c r="E333" s="1004"/>
      <c r="F333" s="1004"/>
      <c r="G333" s="1004"/>
      <c r="H333" s="1004"/>
    </row>
    <row r="334" spans="1:11">
      <c r="A334" s="608" t="s">
        <v>2914</v>
      </c>
      <c r="B334" s="625" t="str">
        <f>IF('Part V-Revenues &amp; Expenses'!$O$59=0,"",'Part V-Revenues &amp; Expenses'!$O$59)</f>
        <v/>
      </c>
      <c r="C334" s="608" t="s">
        <v>3950</v>
      </c>
      <c r="D334" s="626" t="s">
        <v>3951</v>
      </c>
    </row>
    <row r="335" spans="1:11" ht="1.9" customHeight="1"/>
    <row r="336" spans="1:11" ht="12.75" customHeight="1">
      <c r="C336" s="605" t="s">
        <v>2879</v>
      </c>
      <c r="D336" s="627" t="s">
        <v>1839</v>
      </c>
      <c r="E336" s="628"/>
      <c r="F336" s="4729" t="s">
        <v>2880</v>
      </c>
      <c r="G336" s="4729"/>
      <c r="H336" s="4729"/>
      <c r="K336" s="431" t="s">
        <v>233</v>
      </c>
    </row>
    <row r="337" spans="1:8" ht="12.75" customHeight="1">
      <c r="C337" s="629" t="s">
        <v>1273</v>
      </c>
      <c r="D337" s="627" t="s">
        <v>1841</v>
      </c>
      <c r="E337" s="4729" t="s">
        <v>2920</v>
      </c>
      <c r="F337" s="4729"/>
      <c r="G337" s="4729"/>
      <c r="H337" s="4729"/>
    </row>
    <row r="338" spans="1:8" ht="12.75" customHeight="1">
      <c r="E338" s="4729" t="s">
        <v>3038</v>
      </c>
      <c r="F338" s="4729"/>
      <c r="G338" s="4729"/>
      <c r="H338" s="4729"/>
    </row>
    <row r="339" spans="1:8" ht="12.75" customHeight="1">
      <c r="D339" s="630" t="s">
        <v>2918</v>
      </c>
      <c r="E339" s="4729" t="s">
        <v>3039</v>
      </c>
      <c r="F339" s="4729"/>
      <c r="G339" s="4729"/>
      <c r="H339" s="4729"/>
    </row>
    <row r="340" spans="1:8" ht="9" customHeight="1"/>
    <row r="341" spans="1:8" ht="7.5" customHeight="1" thickBot="1">
      <c r="E341" s="4729"/>
      <c r="F341" s="4729"/>
      <c r="G341" s="4729"/>
      <c r="H341" s="4729"/>
    </row>
    <row r="342" spans="1:8" ht="16.149999999999999" customHeight="1" thickBot="1">
      <c r="A342" s="4730">
        <v>60</v>
      </c>
      <c r="B342" s="4731"/>
      <c r="C342" s="1387" t="s">
        <v>974</v>
      </c>
    </row>
    <row r="343" spans="1:8" ht="9" customHeight="1">
      <c r="A343" s="600"/>
    </row>
    <row r="344" spans="1:8" ht="28.15" customHeight="1">
      <c r="A344" s="4729" t="s">
        <v>3957</v>
      </c>
      <c r="B344" s="4729"/>
      <c r="C344" s="4729"/>
      <c r="D344" s="4729"/>
      <c r="E344" s="4729"/>
      <c r="F344" s="4729"/>
      <c r="G344" s="4729"/>
      <c r="H344" s="4729"/>
    </row>
    <row r="345" spans="1:8" ht="9" customHeight="1">
      <c r="A345" s="600"/>
    </row>
    <row r="346" spans="1:8">
      <c r="A346" s="608" t="s">
        <v>2914</v>
      </c>
      <c r="B346" s="625" t="str">
        <f>IF('Part V-Revenues &amp; Expenses'!$K$58=0,"",'Part V-Revenues &amp; Expenses'!$K$58)</f>
        <v/>
      </c>
      <c r="C346" s="608" t="s">
        <v>3947</v>
      </c>
      <c r="D346" s="626" t="s">
        <v>3948</v>
      </c>
    </row>
    <row r="347" spans="1:8" ht="1.9" customHeight="1"/>
    <row r="348" spans="1:8" ht="12.75" customHeight="1">
      <c r="C348" s="605" t="s">
        <v>2879</v>
      </c>
      <c r="D348" s="627" t="s">
        <v>1839</v>
      </c>
      <c r="E348" s="628"/>
      <c r="F348" s="4729" t="s">
        <v>2880</v>
      </c>
      <c r="G348" s="4729"/>
      <c r="H348" s="4729"/>
    </row>
    <row r="349" spans="1:8" ht="12.75" customHeight="1">
      <c r="C349" s="629" t="s">
        <v>1273</v>
      </c>
      <c r="D349" s="627" t="s">
        <v>1841</v>
      </c>
      <c r="E349" s="4729" t="s">
        <v>2919</v>
      </c>
      <c r="F349" s="4729"/>
      <c r="G349" s="4729"/>
      <c r="H349" s="4729"/>
    </row>
    <row r="350" spans="1:8" ht="12.75" customHeight="1">
      <c r="C350" s="1385" t="s">
        <v>3952</v>
      </c>
      <c r="E350" s="4729" t="s">
        <v>3038</v>
      </c>
      <c r="F350" s="4729"/>
      <c r="G350" s="4729"/>
      <c r="H350" s="4729"/>
    </row>
    <row r="351" spans="1:8" ht="12.75" customHeight="1">
      <c r="C351" s="1386"/>
      <c r="D351" s="1384" t="s">
        <v>2918</v>
      </c>
      <c r="E351" s="4732" t="s">
        <v>3039</v>
      </c>
      <c r="F351" s="4732"/>
      <c r="G351" s="4732"/>
      <c r="H351" s="4732"/>
    </row>
    <row r="352" spans="1:8" ht="3" customHeight="1">
      <c r="D352" s="627"/>
      <c r="E352" s="1004"/>
      <c r="F352" s="1004"/>
      <c r="G352" s="1004"/>
      <c r="H352" s="1004"/>
    </row>
    <row r="353" spans="1:8" ht="12.75" customHeight="1">
      <c r="C353" s="605" t="s">
        <v>2879</v>
      </c>
      <c r="D353" s="627" t="s">
        <v>1839</v>
      </c>
      <c r="E353" s="628"/>
      <c r="F353" s="624" t="s">
        <v>2880</v>
      </c>
      <c r="G353" s="624"/>
      <c r="H353" s="624"/>
    </row>
    <row r="354" spans="1:8" ht="12.75" customHeight="1">
      <c r="C354" s="629" t="s">
        <v>1273</v>
      </c>
      <c r="D354" s="627" t="s">
        <v>1841</v>
      </c>
      <c r="E354" s="4729" t="s">
        <v>2919</v>
      </c>
      <c r="F354" s="4729"/>
      <c r="G354" s="4729"/>
      <c r="H354" s="4729"/>
    </row>
    <row r="355" spans="1:8" ht="12.75" customHeight="1">
      <c r="C355" s="1385" t="s">
        <v>3952</v>
      </c>
      <c r="E355" s="4729" t="s">
        <v>3038</v>
      </c>
      <c r="F355" s="4729"/>
      <c r="G355" s="4729"/>
      <c r="H355" s="4729"/>
    </row>
    <row r="356" spans="1:8" ht="12.75" customHeight="1">
      <c r="C356" s="1386"/>
      <c r="D356" s="1384" t="s">
        <v>2918</v>
      </c>
      <c r="E356" s="4732" t="s">
        <v>3039</v>
      </c>
      <c r="F356" s="4732"/>
      <c r="G356" s="4732"/>
      <c r="H356" s="4732"/>
    </row>
    <row r="357" spans="1:8" ht="3" customHeight="1">
      <c r="D357" s="627"/>
      <c r="E357" s="1004"/>
      <c r="F357" s="1004"/>
      <c r="G357" s="1004"/>
      <c r="H357" s="1004"/>
    </row>
    <row r="358" spans="1:8" ht="12.75" customHeight="1">
      <c r="C358" s="605" t="s">
        <v>2879</v>
      </c>
      <c r="D358" s="627" t="s">
        <v>1839</v>
      </c>
      <c r="E358" s="628"/>
      <c r="F358" s="624" t="s">
        <v>2880</v>
      </c>
      <c r="G358" s="624"/>
      <c r="H358" s="624"/>
    </row>
    <row r="359" spans="1:8" ht="12.75" customHeight="1">
      <c r="C359" s="629" t="s">
        <v>1273</v>
      </c>
      <c r="D359" s="627" t="s">
        <v>1841</v>
      </c>
      <c r="E359" s="4729" t="s">
        <v>2919</v>
      </c>
      <c r="F359" s="4729"/>
      <c r="G359" s="4729"/>
      <c r="H359" s="4729"/>
    </row>
    <row r="360" spans="1:8" ht="12.75" customHeight="1">
      <c r="C360" s="1385" t="s">
        <v>3952</v>
      </c>
      <c r="E360" s="4729" t="s">
        <v>3038</v>
      </c>
      <c r="F360" s="4729"/>
      <c r="G360" s="4729"/>
      <c r="H360" s="4729"/>
    </row>
    <row r="361" spans="1:8" ht="12.75" customHeight="1">
      <c r="C361" s="1386"/>
      <c r="D361" s="1384" t="s">
        <v>2918</v>
      </c>
      <c r="E361" s="4732" t="s">
        <v>3039</v>
      </c>
      <c r="F361" s="4732"/>
      <c r="G361" s="4732"/>
      <c r="H361" s="4732"/>
    </row>
    <row r="362" spans="1:8" ht="6" customHeight="1">
      <c r="D362" s="627"/>
      <c r="E362" s="1004"/>
      <c r="F362" s="1004"/>
      <c r="G362" s="1004"/>
      <c r="H362" s="1004"/>
    </row>
    <row r="363" spans="1:8">
      <c r="A363" s="608" t="s">
        <v>2914</v>
      </c>
      <c r="B363" s="625">
        <f>IF('Part V-Revenues &amp; Expenses'!$L$58=0,"",'Part V-Revenues &amp; Expenses'!$L$58)</f>
        <v>14</v>
      </c>
      <c r="C363" s="608" t="s">
        <v>2915</v>
      </c>
      <c r="D363" s="626" t="s">
        <v>3040</v>
      </c>
    </row>
    <row r="364" spans="1:8" ht="1.9" customHeight="1"/>
    <row r="365" spans="1:8" ht="12.75" customHeight="1">
      <c r="C365" s="605" t="s">
        <v>2879</v>
      </c>
      <c r="D365" s="627" t="s">
        <v>1839</v>
      </c>
      <c r="E365" s="628"/>
      <c r="F365" s="624" t="s">
        <v>2880</v>
      </c>
      <c r="G365" s="624"/>
      <c r="H365" s="624"/>
    </row>
    <row r="366" spans="1:8" ht="12.75" customHeight="1">
      <c r="C366" s="629" t="s">
        <v>1273</v>
      </c>
      <c r="D366" s="627" t="s">
        <v>1841</v>
      </c>
      <c r="E366" s="4729" t="s">
        <v>2919</v>
      </c>
      <c r="F366" s="4729"/>
      <c r="G366" s="4729"/>
      <c r="H366" s="4729"/>
    </row>
    <row r="367" spans="1:8" ht="12.75" customHeight="1">
      <c r="C367" s="1385" t="s">
        <v>3952</v>
      </c>
      <c r="E367" s="4729" t="s">
        <v>3038</v>
      </c>
      <c r="F367" s="4729"/>
      <c r="G367" s="4729"/>
      <c r="H367" s="4729"/>
    </row>
    <row r="368" spans="1:8" ht="12.75" customHeight="1">
      <c r="C368" s="1386"/>
      <c r="D368" s="630" t="s">
        <v>2918</v>
      </c>
      <c r="E368" s="4729" t="s">
        <v>3039</v>
      </c>
      <c r="F368" s="4729"/>
      <c r="G368" s="4729"/>
      <c r="H368" s="4729"/>
    </row>
    <row r="369" spans="1:8" ht="3" customHeight="1">
      <c r="D369" s="627"/>
      <c r="E369" s="1004"/>
      <c r="F369" s="1004"/>
      <c r="G369" s="1004"/>
      <c r="H369" s="1004"/>
    </row>
    <row r="370" spans="1:8" ht="12.75" customHeight="1">
      <c r="C370" s="605" t="s">
        <v>2879</v>
      </c>
      <c r="D370" s="627" t="s">
        <v>1839</v>
      </c>
      <c r="E370" s="628"/>
      <c r="F370" s="624" t="s">
        <v>2880</v>
      </c>
      <c r="G370" s="624"/>
      <c r="H370" s="624"/>
    </row>
    <row r="371" spans="1:8" ht="12.75" customHeight="1">
      <c r="C371" s="629" t="s">
        <v>1273</v>
      </c>
      <c r="D371" s="627" t="s">
        <v>1841</v>
      </c>
      <c r="E371" s="4729" t="s">
        <v>2919</v>
      </c>
      <c r="F371" s="4729"/>
      <c r="G371" s="4729"/>
      <c r="H371" s="4729"/>
    </row>
    <row r="372" spans="1:8" ht="12.75" customHeight="1">
      <c r="C372" s="1385" t="s">
        <v>3952</v>
      </c>
      <c r="E372" s="4729" t="s">
        <v>3038</v>
      </c>
      <c r="F372" s="4729"/>
      <c r="G372" s="4729"/>
      <c r="H372" s="4729"/>
    </row>
    <row r="373" spans="1:8" ht="12.75" customHeight="1">
      <c r="C373" s="1386"/>
      <c r="D373" s="1384" t="s">
        <v>2918</v>
      </c>
      <c r="E373" s="4732" t="s">
        <v>3039</v>
      </c>
      <c r="F373" s="4732"/>
      <c r="G373" s="4732"/>
      <c r="H373" s="4732"/>
    </row>
    <row r="374" spans="1:8" ht="3" customHeight="1">
      <c r="D374" s="627"/>
      <c r="E374" s="1004"/>
      <c r="F374" s="1004"/>
      <c r="G374" s="1004"/>
      <c r="H374" s="1004"/>
    </row>
    <row r="375" spans="1:8" ht="12.75" customHeight="1">
      <c r="C375" s="605" t="s">
        <v>2879</v>
      </c>
      <c r="D375" s="627" t="s">
        <v>1839</v>
      </c>
      <c r="E375" s="628"/>
      <c r="F375" s="624" t="s">
        <v>2880</v>
      </c>
      <c r="G375" s="624"/>
      <c r="H375" s="624"/>
    </row>
    <row r="376" spans="1:8" ht="12.75" customHeight="1">
      <c r="C376" s="629" t="s">
        <v>1273</v>
      </c>
      <c r="D376" s="627" t="s">
        <v>1841</v>
      </c>
      <c r="E376" s="4729" t="s">
        <v>2919</v>
      </c>
      <c r="F376" s="4729"/>
      <c r="G376" s="4729"/>
      <c r="H376" s="4729"/>
    </row>
    <row r="377" spans="1:8" ht="12.75" customHeight="1">
      <c r="C377" s="1385" t="s">
        <v>3952</v>
      </c>
      <c r="E377" s="4729" t="s">
        <v>3038</v>
      </c>
      <c r="F377" s="4729"/>
      <c r="G377" s="4729"/>
      <c r="H377" s="4729"/>
    </row>
    <row r="378" spans="1:8" ht="12.75" customHeight="1">
      <c r="C378" s="1386"/>
      <c r="D378" s="1384" t="s">
        <v>2918</v>
      </c>
      <c r="E378" s="4732" t="s">
        <v>3039</v>
      </c>
      <c r="F378" s="4732"/>
      <c r="G378" s="4732"/>
      <c r="H378" s="4732"/>
    </row>
    <row r="379" spans="1:8" ht="6" customHeight="1">
      <c r="D379" s="627"/>
      <c r="E379" s="1004"/>
      <c r="F379" s="1004"/>
      <c r="G379" s="1004"/>
      <c r="H379" s="1004"/>
    </row>
    <row r="380" spans="1:8">
      <c r="A380" s="608" t="s">
        <v>2914</v>
      </c>
      <c r="B380" s="625">
        <f>IF('Part V-Revenues &amp; Expenses'!$M$58=0,"",'Part V-Revenues &amp; Expenses'!$M$58)</f>
        <v>3</v>
      </c>
      <c r="C380" s="608" t="s">
        <v>2916</v>
      </c>
      <c r="D380" s="626" t="s">
        <v>3041</v>
      </c>
    </row>
    <row r="381" spans="1:8" ht="1.9" customHeight="1"/>
    <row r="382" spans="1:8" ht="12.75" customHeight="1">
      <c r="C382" s="605" t="s">
        <v>2879</v>
      </c>
      <c r="D382" s="627" t="s">
        <v>1839</v>
      </c>
      <c r="E382" s="628"/>
      <c r="F382" s="624" t="s">
        <v>2880</v>
      </c>
      <c r="G382" s="624"/>
      <c r="H382" s="624"/>
    </row>
    <row r="383" spans="1:8" ht="12.75" customHeight="1">
      <c r="C383" s="629" t="s">
        <v>1273</v>
      </c>
      <c r="D383" s="627" t="s">
        <v>1841</v>
      </c>
      <c r="E383" s="4729" t="s">
        <v>2919</v>
      </c>
      <c r="F383" s="4729"/>
      <c r="G383" s="4729"/>
      <c r="H383" s="4729"/>
    </row>
    <row r="384" spans="1:8" ht="12.75" customHeight="1">
      <c r="C384" s="1385" t="s">
        <v>3952</v>
      </c>
      <c r="E384" s="4729" t="s">
        <v>3038</v>
      </c>
      <c r="F384" s="4729"/>
      <c r="G384" s="4729"/>
      <c r="H384" s="4729"/>
    </row>
    <row r="385" spans="1:8" ht="12.75" customHeight="1">
      <c r="C385" s="1386"/>
      <c r="D385" s="630" t="s">
        <v>2918</v>
      </c>
      <c r="E385" s="4729" t="s">
        <v>3039</v>
      </c>
      <c r="F385" s="4729"/>
      <c r="G385" s="4729"/>
      <c r="H385" s="4729"/>
    </row>
    <row r="386" spans="1:8" ht="3" customHeight="1">
      <c r="D386" s="627"/>
      <c r="E386" s="1004"/>
      <c r="F386" s="1004"/>
      <c r="G386" s="1004"/>
      <c r="H386" s="1004"/>
    </row>
    <row r="387" spans="1:8" ht="12.75" customHeight="1">
      <c r="C387" s="605" t="s">
        <v>2879</v>
      </c>
      <c r="D387" s="627" t="s">
        <v>1839</v>
      </c>
      <c r="E387" s="628"/>
      <c r="F387" s="624" t="s">
        <v>2880</v>
      </c>
      <c r="G387" s="624"/>
      <c r="H387" s="624"/>
    </row>
    <row r="388" spans="1:8" ht="12.75" customHeight="1">
      <c r="C388" s="629" t="s">
        <v>1273</v>
      </c>
      <c r="D388" s="627" t="s">
        <v>1841</v>
      </c>
      <c r="E388" s="4729" t="s">
        <v>2919</v>
      </c>
      <c r="F388" s="4729"/>
      <c r="G388" s="4729"/>
      <c r="H388" s="4729"/>
    </row>
    <row r="389" spans="1:8" ht="12.75" customHeight="1">
      <c r="C389" s="1385" t="s">
        <v>3952</v>
      </c>
      <c r="E389" s="4729" t="s">
        <v>3038</v>
      </c>
      <c r="F389" s="4729"/>
      <c r="G389" s="4729"/>
      <c r="H389" s="4729"/>
    </row>
    <row r="390" spans="1:8" ht="12.75" customHeight="1">
      <c r="C390" s="1386"/>
      <c r="D390" s="1384" t="s">
        <v>2918</v>
      </c>
      <c r="E390" s="4732" t="s">
        <v>3039</v>
      </c>
      <c r="F390" s="4732"/>
      <c r="G390" s="4732"/>
      <c r="H390" s="4732"/>
    </row>
    <row r="391" spans="1:8" ht="3" customHeight="1">
      <c r="D391" s="627"/>
      <c r="E391" s="1004"/>
      <c r="F391" s="1004"/>
      <c r="G391" s="1004"/>
      <c r="H391" s="1004"/>
    </row>
    <row r="392" spans="1:8" ht="12.75" customHeight="1">
      <c r="C392" s="605" t="s">
        <v>2879</v>
      </c>
      <c r="D392" s="627" t="s">
        <v>1839</v>
      </c>
      <c r="E392" s="628"/>
      <c r="F392" s="624" t="s">
        <v>2880</v>
      </c>
      <c r="G392" s="624"/>
      <c r="H392" s="624"/>
    </row>
    <row r="393" spans="1:8" ht="12.75" customHeight="1">
      <c r="C393" s="629" t="s">
        <v>1273</v>
      </c>
      <c r="D393" s="627" t="s">
        <v>1841</v>
      </c>
      <c r="E393" s="4729" t="s">
        <v>2919</v>
      </c>
      <c r="F393" s="4729"/>
      <c r="G393" s="4729"/>
      <c r="H393" s="4729"/>
    </row>
    <row r="394" spans="1:8" ht="12.75" customHeight="1">
      <c r="C394" s="1385" t="s">
        <v>3952</v>
      </c>
      <c r="E394" s="4729" t="s">
        <v>3038</v>
      </c>
      <c r="F394" s="4729"/>
      <c r="G394" s="4729"/>
      <c r="H394" s="4729"/>
    </row>
    <row r="395" spans="1:8" ht="12.75" customHeight="1">
      <c r="C395" s="1386"/>
      <c r="D395" s="1384" t="s">
        <v>2918</v>
      </c>
      <c r="E395" s="4732" t="s">
        <v>3039</v>
      </c>
      <c r="F395" s="4732"/>
      <c r="G395" s="4732"/>
      <c r="H395" s="4732"/>
    </row>
    <row r="396" spans="1:8" ht="6" customHeight="1">
      <c r="D396" s="627"/>
      <c r="E396" s="1004"/>
      <c r="F396" s="1004"/>
      <c r="G396" s="1004"/>
      <c r="H396" s="1004"/>
    </row>
    <row r="397" spans="1:8">
      <c r="A397" s="608" t="s">
        <v>2914</v>
      </c>
      <c r="B397" s="625">
        <f>IF('Part V-Revenues &amp; Expenses'!$N$58=0,"",'Part V-Revenues &amp; Expenses'!$N$58)</f>
        <v>1</v>
      </c>
      <c r="C397" s="608" t="s">
        <v>2917</v>
      </c>
      <c r="D397" s="626" t="s">
        <v>3042</v>
      </c>
    </row>
    <row r="398" spans="1:8" ht="1.9" customHeight="1"/>
    <row r="399" spans="1:8" ht="12.75" customHeight="1">
      <c r="C399" s="605" t="s">
        <v>2879</v>
      </c>
      <c r="D399" s="627" t="s">
        <v>1839</v>
      </c>
      <c r="E399" s="628"/>
      <c r="F399" s="624" t="s">
        <v>2880</v>
      </c>
      <c r="G399" s="624"/>
      <c r="H399" s="624"/>
    </row>
    <row r="400" spans="1:8" ht="12.75" customHeight="1">
      <c r="C400" s="629" t="s">
        <v>1273</v>
      </c>
      <c r="D400" s="627" t="s">
        <v>1841</v>
      </c>
      <c r="E400" s="4729" t="s">
        <v>2919</v>
      </c>
      <c r="F400" s="4729"/>
      <c r="G400" s="4729"/>
      <c r="H400" s="4729"/>
    </row>
    <row r="401" spans="1:11" ht="12.75" customHeight="1">
      <c r="C401" s="1385" t="s">
        <v>3952</v>
      </c>
      <c r="E401" s="4729" t="s">
        <v>3038</v>
      </c>
      <c r="F401" s="4729"/>
      <c r="G401" s="4729"/>
      <c r="H401" s="4729"/>
    </row>
    <row r="402" spans="1:11" ht="12.75" customHeight="1">
      <c r="C402" s="1386"/>
      <c r="D402" s="630" t="s">
        <v>2918</v>
      </c>
      <c r="E402" s="4729" t="s">
        <v>3039</v>
      </c>
      <c r="F402" s="4729"/>
      <c r="G402" s="4729"/>
      <c r="H402" s="4729"/>
    </row>
    <row r="403" spans="1:11" ht="3" customHeight="1">
      <c r="D403" s="627"/>
      <c r="E403" s="1004"/>
      <c r="F403" s="1004"/>
      <c r="G403" s="1004"/>
      <c r="H403" s="1004"/>
    </row>
    <row r="404" spans="1:11" ht="12.75" customHeight="1">
      <c r="C404" s="605" t="s">
        <v>2879</v>
      </c>
      <c r="D404" s="627" t="s">
        <v>1839</v>
      </c>
      <c r="E404" s="628"/>
      <c r="F404" s="624" t="s">
        <v>2880</v>
      </c>
      <c r="G404" s="624"/>
      <c r="H404" s="624"/>
    </row>
    <row r="405" spans="1:11" ht="12.75" customHeight="1">
      <c r="C405" s="629" t="s">
        <v>1273</v>
      </c>
      <c r="D405" s="627" t="s">
        <v>1841</v>
      </c>
      <c r="E405" s="4729" t="s">
        <v>2919</v>
      </c>
      <c r="F405" s="4729"/>
      <c r="G405" s="4729"/>
      <c r="H405" s="4729"/>
    </row>
    <row r="406" spans="1:11" ht="12.75" customHeight="1">
      <c r="C406" s="1385" t="s">
        <v>3952</v>
      </c>
      <c r="E406" s="4729" t="s">
        <v>3038</v>
      </c>
      <c r="F406" s="4729"/>
      <c r="G406" s="4729"/>
      <c r="H406" s="4729"/>
    </row>
    <row r="407" spans="1:11" ht="12.75" customHeight="1">
      <c r="C407" s="1386"/>
      <c r="D407" s="1384" t="s">
        <v>2918</v>
      </c>
      <c r="E407" s="4732" t="s">
        <v>3039</v>
      </c>
      <c r="F407" s="4732"/>
      <c r="G407" s="4732"/>
      <c r="H407" s="4732"/>
    </row>
    <row r="408" spans="1:11" ht="3" customHeight="1">
      <c r="D408" s="627"/>
      <c r="E408" s="1004"/>
      <c r="F408" s="1004"/>
      <c r="G408" s="1004"/>
      <c r="H408" s="1004"/>
    </row>
    <row r="409" spans="1:11" ht="12.75" customHeight="1">
      <c r="C409" s="605" t="s">
        <v>2879</v>
      </c>
      <c r="D409" s="627" t="s">
        <v>1839</v>
      </c>
      <c r="E409" s="628"/>
      <c r="F409" s="624" t="s">
        <v>2880</v>
      </c>
      <c r="G409" s="624"/>
      <c r="H409" s="624"/>
    </row>
    <row r="410" spans="1:11" ht="12.75" customHeight="1">
      <c r="C410" s="629" t="s">
        <v>1273</v>
      </c>
      <c r="D410" s="627" t="s">
        <v>1841</v>
      </c>
      <c r="E410" s="4729" t="s">
        <v>2919</v>
      </c>
      <c r="F410" s="4729"/>
      <c r="G410" s="4729"/>
      <c r="H410" s="4729"/>
    </row>
    <row r="411" spans="1:11" ht="12.75" customHeight="1">
      <c r="C411" s="1385" t="s">
        <v>3952</v>
      </c>
      <c r="E411" s="4729" t="s">
        <v>3038</v>
      </c>
      <c r="F411" s="4729"/>
      <c r="G411" s="4729"/>
      <c r="H411" s="4729"/>
    </row>
    <row r="412" spans="1:11" ht="12.75" customHeight="1">
      <c r="C412" s="1386"/>
      <c r="D412" s="1384" t="s">
        <v>2918</v>
      </c>
      <c r="E412" s="4732" t="s">
        <v>3039</v>
      </c>
      <c r="F412" s="4732"/>
      <c r="G412" s="4732"/>
      <c r="H412" s="4732"/>
    </row>
    <row r="413" spans="1:11" ht="6" customHeight="1">
      <c r="D413" s="627"/>
      <c r="E413" s="1004"/>
      <c r="F413" s="1004"/>
      <c r="G413" s="1004"/>
      <c r="H413" s="1004"/>
    </row>
    <row r="414" spans="1:11">
      <c r="A414" s="608" t="s">
        <v>2914</v>
      </c>
      <c r="B414" s="625" t="str">
        <f>IF('Part V-Revenues &amp; Expenses'!$O$58=0,"",'Part V-Revenues &amp; Expenses'!$O$58)</f>
        <v/>
      </c>
      <c r="C414" s="608" t="s">
        <v>3950</v>
      </c>
      <c r="D414" s="626" t="s">
        <v>3951</v>
      </c>
    </row>
    <row r="415" spans="1:11" ht="1.9" customHeight="1"/>
    <row r="416" spans="1:11" ht="12.75" customHeight="1">
      <c r="C416" s="605" t="s">
        <v>2879</v>
      </c>
      <c r="D416" s="627" t="s">
        <v>1839</v>
      </c>
      <c r="E416" s="628"/>
      <c r="F416" s="4729" t="s">
        <v>2880</v>
      </c>
      <c r="G416" s="4729"/>
      <c r="H416" s="4729"/>
      <c r="K416" s="431" t="s">
        <v>233</v>
      </c>
    </row>
    <row r="417" spans="1:8" ht="12.75" customHeight="1">
      <c r="C417" s="629" t="s">
        <v>1273</v>
      </c>
      <c r="D417" s="627" t="s">
        <v>1841</v>
      </c>
      <c r="E417" s="4729" t="s">
        <v>2920</v>
      </c>
      <c r="F417" s="4729"/>
      <c r="G417" s="4729"/>
      <c r="H417" s="4729"/>
    </row>
    <row r="418" spans="1:8" ht="12.75" customHeight="1">
      <c r="E418" s="4729" t="s">
        <v>3038</v>
      </c>
      <c r="F418" s="4729"/>
      <c r="G418" s="4729"/>
      <c r="H418" s="4729"/>
    </row>
    <row r="419" spans="1:8" ht="12.75" customHeight="1">
      <c r="D419" s="630" t="s">
        <v>2918</v>
      </c>
      <c r="E419" s="4729" t="s">
        <v>3039</v>
      </c>
      <c r="F419" s="4729"/>
      <c r="G419" s="4729"/>
      <c r="H419" s="4729"/>
    </row>
    <row r="420" spans="1:8" ht="9" customHeight="1" thickBot="1"/>
    <row r="421" spans="1:8" ht="16.149999999999999" customHeight="1" thickBot="1">
      <c r="A421" s="4730">
        <v>70</v>
      </c>
      <c r="B421" s="4731"/>
      <c r="C421" s="1387" t="s">
        <v>974</v>
      </c>
    </row>
    <row r="422" spans="1:8" ht="9" customHeight="1">
      <c r="A422" s="600"/>
    </row>
    <row r="423" spans="1:8" ht="28.15" customHeight="1">
      <c r="A423" s="4729" t="s">
        <v>3958</v>
      </c>
      <c r="B423" s="4729"/>
      <c r="C423" s="4729"/>
      <c r="D423" s="4729"/>
      <c r="E423" s="4729"/>
      <c r="F423" s="4729"/>
      <c r="G423" s="4729"/>
      <c r="H423" s="4729"/>
    </row>
    <row r="424" spans="1:8" ht="9" customHeight="1">
      <c r="A424" s="600"/>
    </row>
    <row r="425" spans="1:8">
      <c r="A425" s="608" t="s">
        <v>2914</v>
      </c>
      <c r="B425" s="625" t="str">
        <f>IF('Part V-Revenues &amp; Expenses'!$K$57=0,"",'Part V-Revenues &amp; Expenses'!$K$57)</f>
        <v/>
      </c>
      <c r="C425" s="608" t="s">
        <v>3947</v>
      </c>
      <c r="D425" s="626" t="s">
        <v>3948</v>
      </c>
    </row>
    <row r="426" spans="1:8" ht="1.9" customHeight="1"/>
    <row r="427" spans="1:8" ht="12.75" customHeight="1">
      <c r="C427" s="605" t="s">
        <v>2879</v>
      </c>
      <c r="D427" s="627" t="s">
        <v>1839</v>
      </c>
      <c r="E427" s="628"/>
      <c r="F427" s="4729" t="s">
        <v>2880</v>
      </c>
      <c r="G427" s="4729"/>
      <c r="H427" s="4729"/>
    </row>
    <row r="428" spans="1:8" ht="12.75" customHeight="1">
      <c r="C428" s="629" t="s">
        <v>1273</v>
      </c>
      <c r="D428" s="627" t="s">
        <v>1841</v>
      </c>
      <c r="E428" s="4729" t="s">
        <v>2919</v>
      </c>
      <c r="F428" s="4729"/>
      <c r="G428" s="4729"/>
      <c r="H428" s="4729"/>
    </row>
    <row r="429" spans="1:8" ht="12.75" customHeight="1">
      <c r="C429" s="1385" t="s">
        <v>3952</v>
      </c>
      <c r="E429" s="4729" t="s">
        <v>3038</v>
      </c>
      <c r="F429" s="4729"/>
      <c r="G429" s="4729"/>
      <c r="H429" s="4729"/>
    </row>
    <row r="430" spans="1:8" ht="12.75" customHeight="1">
      <c r="C430" s="1386"/>
      <c r="D430" s="1384" t="s">
        <v>2918</v>
      </c>
      <c r="E430" s="4732" t="s">
        <v>3039</v>
      </c>
      <c r="F430" s="4732"/>
      <c r="G430" s="4732"/>
      <c r="H430" s="4732"/>
    </row>
    <row r="431" spans="1:8" ht="3" customHeight="1">
      <c r="D431" s="627"/>
      <c r="E431" s="1004"/>
      <c r="F431" s="1004"/>
      <c r="G431" s="1004"/>
      <c r="H431" s="1004"/>
    </row>
    <row r="432" spans="1:8" ht="12.75" customHeight="1">
      <c r="C432" s="605" t="s">
        <v>2879</v>
      </c>
      <c r="D432" s="627" t="s">
        <v>1839</v>
      </c>
      <c r="E432" s="628"/>
      <c r="F432" s="624" t="s">
        <v>2880</v>
      </c>
      <c r="G432" s="624"/>
      <c r="H432" s="624"/>
    </row>
    <row r="433" spans="1:8" ht="12.75" customHeight="1">
      <c r="C433" s="629" t="s">
        <v>1273</v>
      </c>
      <c r="D433" s="627" t="s">
        <v>1841</v>
      </c>
      <c r="E433" s="4729" t="s">
        <v>2919</v>
      </c>
      <c r="F433" s="4729"/>
      <c r="G433" s="4729"/>
      <c r="H433" s="4729"/>
    </row>
    <row r="434" spans="1:8" ht="12.75" customHeight="1">
      <c r="C434" s="1385" t="s">
        <v>3952</v>
      </c>
      <c r="E434" s="4729" t="s">
        <v>3038</v>
      </c>
      <c r="F434" s="4729"/>
      <c r="G434" s="4729"/>
      <c r="H434" s="4729"/>
    </row>
    <row r="435" spans="1:8" ht="12.75" customHeight="1">
      <c r="C435" s="1386"/>
      <c r="D435" s="1384" t="s">
        <v>2918</v>
      </c>
      <c r="E435" s="4732" t="s">
        <v>3039</v>
      </c>
      <c r="F435" s="4732"/>
      <c r="G435" s="4732"/>
      <c r="H435" s="4732"/>
    </row>
    <row r="436" spans="1:8" ht="3" customHeight="1">
      <c r="D436" s="627"/>
      <c r="E436" s="1004"/>
      <c r="F436" s="1004"/>
      <c r="G436" s="1004"/>
      <c r="H436" s="1004"/>
    </row>
    <row r="437" spans="1:8" ht="12.75" customHeight="1">
      <c r="C437" s="605" t="s">
        <v>2879</v>
      </c>
      <c r="D437" s="627" t="s">
        <v>1839</v>
      </c>
      <c r="E437" s="628"/>
      <c r="F437" s="624" t="s">
        <v>2880</v>
      </c>
      <c r="G437" s="624"/>
      <c r="H437" s="624"/>
    </row>
    <row r="438" spans="1:8" ht="12.75" customHeight="1">
      <c r="C438" s="629" t="s">
        <v>1273</v>
      </c>
      <c r="D438" s="627" t="s">
        <v>1841</v>
      </c>
      <c r="E438" s="4729" t="s">
        <v>2919</v>
      </c>
      <c r="F438" s="4729"/>
      <c r="G438" s="4729"/>
      <c r="H438" s="4729"/>
    </row>
    <row r="439" spans="1:8" ht="12.75" customHeight="1">
      <c r="C439" s="1385" t="s">
        <v>3952</v>
      </c>
      <c r="E439" s="4729" t="s">
        <v>3038</v>
      </c>
      <c r="F439" s="4729"/>
      <c r="G439" s="4729"/>
      <c r="H439" s="4729"/>
    </row>
    <row r="440" spans="1:8" ht="12.75" customHeight="1">
      <c r="C440" s="1386"/>
      <c r="D440" s="1384" t="s">
        <v>2918</v>
      </c>
      <c r="E440" s="4732" t="s">
        <v>3039</v>
      </c>
      <c r="F440" s="4732"/>
      <c r="G440" s="4732"/>
      <c r="H440" s="4732"/>
    </row>
    <row r="441" spans="1:8" ht="6" customHeight="1">
      <c r="D441" s="627"/>
      <c r="E441" s="1004"/>
      <c r="F441" s="1004"/>
      <c r="G441" s="1004"/>
      <c r="H441" s="1004"/>
    </row>
    <row r="442" spans="1:8">
      <c r="A442" s="608" t="s">
        <v>2914</v>
      </c>
      <c r="B442" s="625" t="str">
        <f>IF('Part V-Revenues &amp; Expenses'!$L$57=0,"",'Part V-Revenues &amp; Expenses'!$L$57)</f>
        <v/>
      </c>
      <c r="C442" s="608" t="s">
        <v>2915</v>
      </c>
      <c r="D442" s="626" t="s">
        <v>3040</v>
      </c>
    </row>
    <row r="443" spans="1:8" ht="1.9" customHeight="1"/>
    <row r="444" spans="1:8" ht="12.75" customHeight="1">
      <c r="C444" s="605" t="s">
        <v>2879</v>
      </c>
      <c r="D444" s="627" t="s">
        <v>1839</v>
      </c>
      <c r="E444" s="628"/>
      <c r="F444" s="624" t="s">
        <v>2880</v>
      </c>
      <c r="G444" s="624"/>
      <c r="H444" s="624"/>
    </row>
    <row r="445" spans="1:8" ht="12.75" customHeight="1">
      <c r="C445" s="629" t="s">
        <v>1273</v>
      </c>
      <c r="D445" s="627" t="s">
        <v>1841</v>
      </c>
      <c r="E445" s="4729" t="s">
        <v>2919</v>
      </c>
      <c r="F445" s="4729"/>
      <c r="G445" s="4729"/>
      <c r="H445" s="4729"/>
    </row>
    <row r="446" spans="1:8" ht="12.75" customHeight="1">
      <c r="C446" s="1385" t="s">
        <v>3952</v>
      </c>
      <c r="E446" s="4729" t="s">
        <v>3038</v>
      </c>
      <c r="F446" s="4729"/>
      <c r="G446" s="4729"/>
      <c r="H446" s="4729"/>
    </row>
    <row r="447" spans="1:8" ht="12.75" customHeight="1">
      <c r="C447" s="1386"/>
      <c r="D447" s="630" t="s">
        <v>2918</v>
      </c>
      <c r="E447" s="4729" t="s">
        <v>3039</v>
      </c>
      <c r="F447" s="4729"/>
      <c r="G447" s="4729"/>
      <c r="H447" s="4729"/>
    </row>
    <row r="448" spans="1:8" ht="3" customHeight="1">
      <c r="D448" s="627"/>
      <c r="E448" s="1004"/>
      <c r="F448" s="1004"/>
      <c r="G448" s="1004"/>
      <c r="H448" s="1004"/>
    </row>
    <row r="449" spans="1:8" ht="12.75" customHeight="1">
      <c r="C449" s="605" t="s">
        <v>2879</v>
      </c>
      <c r="D449" s="627" t="s">
        <v>1839</v>
      </c>
      <c r="E449" s="628"/>
      <c r="F449" s="624" t="s">
        <v>2880</v>
      </c>
      <c r="G449" s="624"/>
      <c r="H449" s="624"/>
    </row>
    <row r="450" spans="1:8" ht="12.75" customHeight="1">
      <c r="C450" s="629" t="s">
        <v>1273</v>
      </c>
      <c r="D450" s="627" t="s">
        <v>1841</v>
      </c>
      <c r="E450" s="4729" t="s">
        <v>2919</v>
      </c>
      <c r="F450" s="4729"/>
      <c r="G450" s="4729"/>
      <c r="H450" s="4729"/>
    </row>
    <row r="451" spans="1:8" ht="12.75" customHeight="1">
      <c r="C451" s="1385" t="s">
        <v>3952</v>
      </c>
      <c r="E451" s="4729" t="s">
        <v>3038</v>
      </c>
      <c r="F451" s="4729"/>
      <c r="G451" s="4729"/>
      <c r="H451" s="4729"/>
    </row>
    <row r="452" spans="1:8" ht="12.75" customHeight="1">
      <c r="C452" s="1386"/>
      <c r="D452" s="1384" t="s">
        <v>2918</v>
      </c>
      <c r="E452" s="4732" t="s">
        <v>3039</v>
      </c>
      <c r="F452" s="4732"/>
      <c r="G452" s="4732"/>
      <c r="H452" s="4732"/>
    </row>
    <row r="453" spans="1:8" ht="3" customHeight="1">
      <c r="D453" s="627"/>
      <c r="E453" s="1004"/>
      <c r="F453" s="1004"/>
      <c r="G453" s="1004"/>
      <c r="H453" s="1004"/>
    </row>
    <row r="454" spans="1:8" ht="12.75" customHeight="1">
      <c r="C454" s="605" t="s">
        <v>2879</v>
      </c>
      <c r="D454" s="627" t="s">
        <v>1839</v>
      </c>
      <c r="E454" s="628"/>
      <c r="F454" s="624" t="s">
        <v>2880</v>
      </c>
      <c r="G454" s="624"/>
      <c r="H454" s="624"/>
    </row>
    <row r="455" spans="1:8" ht="12.75" customHeight="1">
      <c r="C455" s="629" t="s">
        <v>1273</v>
      </c>
      <c r="D455" s="627" t="s">
        <v>1841</v>
      </c>
      <c r="E455" s="4729" t="s">
        <v>2919</v>
      </c>
      <c r="F455" s="4729"/>
      <c r="G455" s="4729"/>
      <c r="H455" s="4729"/>
    </row>
    <row r="456" spans="1:8" ht="12.75" customHeight="1">
      <c r="C456" s="1385" t="s">
        <v>3952</v>
      </c>
      <c r="E456" s="4729" t="s">
        <v>3038</v>
      </c>
      <c r="F456" s="4729"/>
      <c r="G456" s="4729"/>
      <c r="H456" s="4729"/>
    </row>
    <row r="457" spans="1:8" ht="12.75" customHeight="1">
      <c r="C457" s="1386"/>
      <c r="D457" s="1384" t="s">
        <v>2918</v>
      </c>
      <c r="E457" s="4732" t="s">
        <v>3039</v>
      </c>
      <c r="F457" s="4732"/>
      <c r="G457" s="4732"/>
      <c r="H457" s="4732"/>
    </row>
    <row r="458" spans="1:8" ht="6" customHeight="1">
      <c r="D458" s="627"/>
      <c r="E458" s="1004"/>
      <c r="F458" s="1004"/>
      <c r="G458" s="1004"/>
      <c r="H458" s="1004"/>
    </row>
    <row r="459" spans="1:8">
      <c r="A459" s="608" t="s">
        <v>2914</v>
      </c>
      <c r="B459" s="625" t="str">
        <f>IF('Part V-Revenues &amp; Expenses'!$M$57=0,"",'Part V-Revenues &amp; Expenses'!$M$57)</f>
        <v/>
      </c>
      <c r="C459" s="608" t="s">
        <v>2916</v>
      </c>
      <c r="D459" s="626" t="s">
        <v>3041</v>
      </c>
    </row>
    <row r="460" spans="1:8" ht="1.9" customHeight="1"/>
    <row r="461" spans="1:8" ht="12.75" customHeight="1">
      <c r="C461" s="605" t="s">
        <v>2879</v>
      </c>
      <c r="D461" s="627" t="s">
        <v>1839</v>
      </c>
      <c r="E461" s="628"/>
      <c r="F461" s="624" t="s">
        <v>2880</v>
      </c>
      <c r="G461" s="624"/>
      <c r="H461" s="624"/>
    </row>
    <row r="462" spans="1:8" ht="12.75" customHeight="1">
      <c r="C462" s="629" t="s">
        <v>1273</v>
      </c>
      <c r="D462" s="627" t="s">
        <v>1841</v>
      </c>
      <c r="E462" s="4729" t="s">
        <v>2919</v>
      </c>
      <c r="F462" s="4729"/>
      <c r="G462" s="4729"/>
      <c r="H462" s="4729"/>
    </row>
    <row r="463" spans="1:8" ht="12.75" customHeight="1">
      <c r="C463" s="1385" t="s">
        <v>3952</v>
      </c>
      <c r="E463" s="4729" t="s">
        <v>3038</v>
      </c>
      <c r="F463" s="4729"/>
      <c r="G463" s="4729"/>
      <c r="H463" s="4729"/>
    </row>
    <row r="464" spans="1:8" ht="12.75" customHeight="1">
      <c r="C464" s="1386"/>
      <c r="D464" s="630" t="s">
        <v>2918</v>
      </c>
      <c r="E464" s="4729" t="s">
        <v>3039</v>
      </c>
      <c r="F464" s="4729"/>
      <c r="G464" s="4729"/>
      <c r="H464" s="4729"/>
    </row>
    <row r="465" spans="1:8" ht="3" customHeight="1">
      <c r="D465" s="627"/>
      <c r="E465" s="1004"/>
      <c r="F465" s="1004"/>
      <c r="G465" s="1004"/>
      <c r="H465" s="1004"/>
    </row>
    <row r="466" spans="1:8" ht="12.75" customHeight="1">
      <c r="C466" s="605" t="s">
        <v>2879</v>
      </c>
      <c r="D466" s="627" t="s">
        <v>1839</v>
      </c>
      <c r="E466" s="628"/>
      <c r="F466" s="624" t="s">
        <v>2880</v>
      </c>
      <c r="G466" s="624"/>
      <c r="H466" s="624"/>
    </row>
    <row r="467" spans="1:8" ht="12.75" customHeight="1">
      <c r="C467" s="629" t="s">
        <v>1273</v>
      </c>
      <c r="D467" s="627" t="s">
        <v>1841</v>
      </c>
      <c r="E467" s="4729" t="s">
        <v>2919</v>
      </c>
      <c r="F467" s="4729"/>
      <c r="G467" s="4729"/>
      <c r="H467" s="4729"/>
    </row>
    <row r="468" spans="1:8" ht="12.75" customHeight="1">
      <c r="C468" s="1385" t="s">
        <v>3952</v>
      </c>
      <c r="E468" s="4729" t="s">
        <v>3038</v>
      </c>
      <c r="F468" s="4729"/>
      <c r="G468" s="4729"/>
      <c r="H468" s="4729"/>
    </row>
    <row r="469" spans="1:8" ht="12.75" customHeight="1">
      <c r="C469" s="1386"/>
      <c r="D469" s="1384" t="s">
        <v>2918</v>
      </c>
      <c r="E469" s="4732" t="s">
        <v>3039</v>
      </c>
      <c r="F469" s="4732"/>
      <c r="G469" s="4732"/>
      <c r="H469" s="4732"/>
    </row>
    <row r="470" spans="1:8" ht="3" customHeight="1">
      <c r="D470" s="627"/>
      <c r="E470" s="1004"/>
      <c r="F470" s="1004"/>
      <c r="G470" s="1004"/>
      <c r="H470" s="1004"/>
    </row>
    <row r="471" spans="1:8" ht="12.75" customHeight="1">
      <c r="C471" s="605" t="s">
        <v>2879</v>
      </c>
      <c r="D471" s="627" t="s">
        <v>1839</v>
      </c>
      <c r="E471" s="628"/>
      <c r="F471" s="624" t="s">
        <v>2880</v>
      </c>
      <c r="G471" s="624"/>
      <c r="H471" s="624"/>
    </row>
    <row r="472" spans="1:8" ht="12.75" customHeight="1">
      <c r="C472" s="629" t="s">
        <v>1273</v>
      </c>
      <c r="D472" s="627" t="s">
        <v>1841</v>
      </c>
      <c r="E472" s="4729" t="s">
        <v>2919</v>
      </c>
      <c r="F472" s="4729"/>
      <c r="G472" s="4729"/>
      <c r="H472" s="4729"/>
    </row>
    <row r="473" spans="1:8" ht="12.75" customHeight="1">
      <c r="C473" s="1385" t="s">
        <v>3952</v>
      </c>
      <c r="E473" s="4729" t="s">
        <v>3038</v>
      </c>
      <c r="F473" s="4729"/>
      <c r="G473" s="4729"/>
      <c r="H473" s="4729"/>
    </row>
    <row r="474" spans="1:8" ht="12.75" customHeight="1">
      <c r="C474" s="1386"/>
      <c r="D474" s="1384" t="s">
        <v>2918</v>
      </c>
      <c r="E474" s="4732" t="s">
        <v>3039</v>
      </c>
      <c r="F474" s="4732"/>
      <c r="G474" s="4732"/>
      <c r="H474" s="4732"/>
    </row>
    <row r="475" spans="1:8" ht="6" customHeight="1">
      <c r="D475" s="627"/>
      <c r="E475" s="1004"/>
      <c r="F475" s="1004"/>
      <c r="G475" s="1004"/>
      <c r="H475" s="1004"/>
    </row>
    <row r="476" spans="1:8">
      <c r="A476" s="608" t="s">
        <v>2914</v>
      </c>
      <c r="B476" s="625" t="str">
        <f>IF('Part V-Revenues &amp; Expenses'!$N$57=0,"",'Part V-Revenues &amp; Expenses'!$N$57)</f>
        <v/>
      </c>
      <c r="C476" s="608" t="s">
        <v>2917</v>
      </c>
      <c r="D476" s="626" t="s">
        <v>3042</v>
      </c>
    </row>
    <row r="477" spans="1:8" ht="1.9" customHeight="1"/>
    <row r="478" spans="1:8" ht="12.75" customHeight="1">
      <c r="C478" s="605" t="s">
        <v>2879</v>
      </c>
      <c r="D478" s="627" t="s">
        <v>1839</v>
      </c>
      <c r="E478" s="628"/>
      <c r="F478" s="624" t="s">
        <v>2880</v>
      </c>
      <c r="G478" s="624"/>
      <c r="H478" s="624"/>
    </row>
    <row r="479" spans="1:8" ht="12.75" customHeight="1">
      <c r="C479" s="629" t="s">
        <v>1273</v>
      </c>
      <c r="D479" s="627" t="s">
        <v>1841</v>
      </c>
      <c r="E479" s="4729" t="s">
        <v>2919</v>
      </c>
      <c r="F479" s="4729"/>
      <c r="G479" s="4729"/>
      <c r="H479" s="4729"/>
    </row>
    <row r="480" spans="1:8" ht="12.75" customHeight="1">
      <c r="C480" s="1385" t="s">
        <v>3952</v>
      </c>
      <c r="E480" s="4729" t="s">
        <v>3038</v>
      </c>
      <c r="F480" s="4729"/>
      <c r="G480" s="4729"/>
      <c r="H480" s="4729"/>
    </row>
    <row r="481" spans="1:11" ht="12.75" customHeight="1">
      <c r="C481" s="1386"/>
      <c r="D481" s="630" t="s">
        <v>2918</v>
      </c>
      <c r="E481" s="4729" t="s">
        <v>3039</v>
      </c>
      <c r="F481" s="4729"/>
      <c r="G481" s="4729"/>
      <c r="H481" s="4729"/>
    </row>
    <row r="482" spans="1:11" ht="3" customHeight="1">
      <c r="D482" s="627"/>
      <c r="E482" s="1004"/>
      <c r="F482" s="1004"/>
      <c r="G482" s="1004"/>
      <c r="H482" s="1004"/>
    </row>
    <row r="483" spans="1:11" ht="12.75" customHeight="1">
      <c r="C483" s="605" t="s">
        <v>2879</v>
      </c>
      <c r="D483" s="627" t="s">
        <v>1839</v>
      </c>
      <c r="E483" s="628"/>
      <c r="F483" s="624" t="s">
        <v>2880</v>
      </c>
      <c r="G483" s="624"/>
      <c r="H483" s="624"/>
    </row>
    <row r="484" spans="1:11" ht="12.75" customHeight="1">
      <c r="C484" s="629" t="s">
        <v>1273</v>
      </c>
      <c r="D484" s="627" t="s">
        <v>1841</v>
      </c>
      <c r="E484" s="4729" t="s">
        <v>2919</v>
      </c>
      <c r="F484" s="4729"/>
      <c r="G484" s="4729"/>
      <c r="H484" s="4729"/>
    </row>
    <row r="485" spans="1:11" ht="12.75" customHeight="1">
      <c r="C485" s="1385" t="s">
        <v>3952</v>
      </c>
      <c r="E485" s="4729" t="s">
        <v>3038</v>
      </c>
      <c r="F485" s="4729"/>
      <c r="G485" s="4729"/>
      <c r="H485" s="4729"/>
    </row>
    <row r="486" spans="1:11" ht="12.75" customHeight="1">
      <c r="C486" s="1386"/>
      <c r="D486" s="1384" t="s">
        <v>2918</v>
      </c>
      <c r="E486" s="4732" t="s">
        <v>3039</v>
      </c>
      <c r="F486" s="4732"/>
      <c r="G486" s="4732"/>
      <c r="H486" s="4732"/>
    </row>
    <row r="487" spans="1:11" ht="3" customHeight="1">
      <c r="D487" s="627"/>
      <c r="E487" s="1004"/>
      <c r="F487" s="1004"/>
      <c r="G487" s="1004"/>
      <c r="H487" s="1004"/>
    </row>
    <row r="488" spans="1:11" ht="12.75" customHeight="1">
      <c r="C488" s="605" t="s">
        <v>2879</v>
      </c>
      <c r="D488" s="627" t="s">
        <v>1839</v>
      </c>
      <c r="E488" s="628"/>
      <c r="F488" s="624" t="s">
        <v>2880</v>
      </c>
      <c r="G488" s="624"/>
      <c r="H488" s="624"/>
    </row>
    <row r="489" spans="1:11" ht="12.75" customHeight="1">
      <c r="C489" s="629" t="s">
        <v>1273</v>
      </c>
      <c r="D489" s="627" t="s">
        <v>1841</v>
      </c>
      <c r="E489" s="4729" t="s">
        <v>2919</v>
      </c>
      <c r="F489" s="4729"/>
      <c r="G489" s="4729"/>
      <c r="H489" s="4729"/>
    </row>
    <row r="490" spans="1:11" ht="12.75" customHeight="1">
      <c r="C490" s="1385" t="s">
        <v>3952</v>
      </c>
      <c r="E490" s="4729" t="s">
        <v>3038</v>
      </c>
      <c r="F490" s="4729"/>
      <c r="G490" s="4729"/>
      <c r="H490" s="4729"/>
    </row>
    <row r="491" spans="1:11" ht="12.75" customHeight="1">
      <c r="C491" s="1386"/>
      <c r="D491" s="1384" t="s">
        <v>2918</v>
      </c>
      <c r="E491" s="4732" t="s">
        <v>3039</v>
      </c>
      <c r="F491" s="4732"/>
      <c r="G491" s="4732"/>
      <c r="H491" s="4732"/>
    </row>
    <row r="492" spans="1:11" ht="6" customHeight="1">
      <c r="D492" s="627"/>
      <c r="E492" s="1004"/>
      <c r="F492" s="1004"/>
      <c r="G492" s="1004"/>
      <c r="H492" s="1004"/>
    </row>
    <row r="493" spans="1:11">
      <c r="A493" s="608" t="s">
        <v>2914</v>
      </c>
      <c r="B493" s="625" t="str">
        <f>IF('Part V-Revenues &amp; Expenses'!$O$57=0,"",'Part V-Revenues &amp; Expenses'!$O$57)</f>
        <v/>
      </c>
      <c r="C493" s="608" t="s">
        <v>3950</v>
      </c>
      <c r="D493" s="626" t="s">
        <v>3951</v>
      </c>
    </row>
    <row r="494" spans="1:11" ht="1.9" customHeight="1"/>
    <row r="495" spans="1:11" ht="12.75" customHeight="1">
      <c r="C495" s="605" t="s">
        <v>2879</v>
      </c>
      <c r="D495" s="627" t="s">
        <v>1839</v>
      </c>
      <c r="E495" s="628"/>
      <c r="F495" s="4729" t="s">
        <v>2880</v>
      </c>
      <c r="G495" s="4729"/>
      <c r="H495" s="4729"/>
      <c r="K495" s="431" t="s">
        <v>233</v>
      </c>
    </row>
    <row r="496" spans="1:11" ht="12.75" customHeight="1">
      <c r="C496" s="629" t="s">
        <v>1273</v>
      </c>
      <c r="D496" s="627" t="s">
        <v>1841</v>
      </c>
      <c r="E496" s="4729" t="s">
        <v>2920</v>
      </c>
      <c r="F496" s="4729"/>
      <c r="G496" s="4729"/>
      <c r="H496" s="4729"/>
    </row>
    <row r="497" spans="1:8" ht="12.75" customHeight="1">
      <c r="E497" s="4729" t="s">
        <v>3038</v>
      </c>
      <c r="F497" s="4729"/>
      <c r="G497" s="4729"/>
      <c r="H497" s="4729"/>
    </row>
    <row r="498" spans="1:8" ht="12.75" customHeight="1">
      <c r="D498" s="630" t="s">
        <v>2918</v>
      </c>
      <c r="E498" s="4729" t="s">
        <v>3039</v>
      </c>
      <c r="F498" s="4729"/>
      <c r="G498" s="4729"/>
      <c r="H498" s="4729"/>
    </row>
    <row r="499" spans="1:8" ht="9" customHeight="1" thickBot="1"/>
    <row r="500" spans="1:8" ht="16.149999999999999" customHeight="1" thickBot="1">
      <c r="A500" s="4730">
        <v>80</v>
      </c>
      <c r="B500" s="4731"/>
      <c r="C500" s="1387" t="s">
        <v>974</v>
      </c>
    </row>
    <row r="501" spans="1:8" ht="9" customHeight="1">
      <c r="A501" s="600"/>
    </row>
    <row r="502" spans="1:8" ht="28.15" customHeight="1">
      <c r="A502" s="4729" t="s">
        <v>3959</v>
      </c>
      <c r="B502" s="4729"/>
      <c r="C502" s="4729"/>
      <c r="D502" s="4729"/>
      <c r="E502" s="4729"/>
      <c r="F502" s="4729"/>
      <c r="G502" s="4729"/>
      <c r="H502" s="4729"/>
    </row>
    <row r="503" spans="1:8" ht="9" customHeight="1">
      <c r="A503" s="600"/>
    </row>
    <row r="504" spans="1:8">
      <c r="A504" s="608" t="s">
        <v>2914</v>
      </c>
      <c r="B504" s="625" t="str">
        <f>IF('Part V-Revenues &amp; Expenses'!$K$56=0,"",'Part V-Revenues &amp; Expenses'!$K$56)</f>
        <v/>
      </c>
      <c r="C504" s="608" t="s">
        <v>3947</v>
      </c>
      <c r="D504" s="626" t="s">
        <v>3948</v>
      </c>
    </row>
    <row r="505" spans="1:8" ht="1.9" customHeight="1"/>
    <row r="506" spans="1:8" ht="12.75" customHeight="1">
      <c r="C506" s="605" t="s">
        <v>2879</v>
      </c>
      <c r="D506" s="627" t="s">
        <v>1839</v>
      </c>
      <c r="E506" s="628"/>
      <c r="F506" s="4729" t="s">
        <v>2880</v>
      </c>
      <c r="G506" s="4729"/>
      <c r="H506" s="4729"/>
    </row>
    <row r="507" spans="1:8" ht="12.75" customHeight="1">
      <c r="C507" s="629" t="s">
        <v>1273</v>
      </c>
      <c r="D507" s="627" t="s">
        <v>1841</v>
      </c>
      <c r="E507" s="4729" t="s">
        <v>2919</v>
      </c>
      <c r="F507" s="4729"/>
      <c r="G507" s="4729"/>
      <c r="H507" s="4729"/>
    </row>
    <row r="508" spans="1:8" ht="12.75" customHeight="1">
      <c r="C508" s="1385" t="s">
        <v>3952</v>
      </c>
      <c r="E508" s="4729" t="s">
        <v>3038</v>
      </c>
      <c r="F508" s="4729"/>
      <c r="G508" s="4729"/>
      <c r="H508" s="4729"/>
    </row>
    <row r="509" spans="1:8" ht="12.75" customHeight="1">
      <c r="C509" s="1386"/>
      <c r="D509" s="1384" t="s">
        <v>2918</v>
      </c>
      <c r="E509" s="4732" t="s">
        <v>3039</v>
      </c>
      <c r="F509" s="4732"/>
      <c r="G509" s="4732"/>
      <c r="H509" s="4732"/>
    </row>
    <row r="510" spans="1:8" ht="3" customHeight="1">
      <c r="D510" s="627"/>
      <c r="E510" s="1004"/>
      <c r="F510" s="1004"/>
      <c r="G510" s="1004"/>
      <c r="H510" s="1004"/>
    </row>
    <row r="511" spans="1:8" ht="12.75" customHeight="1">
      <c r="C511" s="605" t="s">
        <v>2879</v>
      </c>
      <c r="D511" s="627" t="s">
        <v>1839</v>
      </c>
      <c r="E511" s="628"/>
      <c r="F511" s="624" t="s">
        <v>2880</v>
      </c>
      <c r="G511" s="624"/>
      <c r="H511" s="624"/>
    </row>
    <row r="512" spans="1:8" ht="12.75" customHeight="1">
      <c r="C512" s="629" t="s">
        <v>1273</v>
      </c>
      <c r="D512" s="627" t="s">
        <v>1841</v>
      </c>
      <c r="E512" s="4729" t="s">
        <v>2919</v>
      </c>
      <c r="F512" s="4729"/>
      <c r="G512" s="4729"/>
      <c r="H512" s="4729"/>
    </row>
    <row r="513" spans="1:8" ht="12.75" customHeight="1">
      <c r="C513" s="1385" t="s">
        <v>3952</v>
      </c>
      <c r="E513" s="4729" t="s">
        <v>3038</v>
      </c>
      <c r="F513" s="4729"/>
      <c r="G513" s="4729"/>
      <c r="H513" s="4729"/>
    </row>
    <row r="514" spans="1:8" ht="12.75" customHeight="1">
      <c r="C514" s="1386"/>
      <c r="D514" s="1384" t="s">
        <v>2918</v>
      </c>
      <c r="E514" s="4732" t="s">
        <v>3039</v>
      </c>
      <c r="F514" s="4732"/>
      <c r="G514" s="4732"/>
      <c r="H514" s="4732"/>
    </row>
    <row r="515" spans="1:8" ht="3" customHeight="1">
      <c r="D515" s="627"/>
      <c r="E515" s="1004"/>
      <c r="F515" s="1004"/>
      <c r="G515" s="1004"/>
      <c r="H515" s="1004"/>
    </row>
    <row r="516" spans="1:8" ht="12.75" customHeight="1">
      <c r="C516" s="605" t="s">
        <v>2879</v>
      </c>
      <c r="D516" s="627" t="s">
        <v>1839</v>
      </c>
      <c r="E516" s="628"/>
      <c r="F516" s="624" t="s">
        <v>2880</v>
      </c>
      <c r="G516" s="624"/>
      <c r="H516" s="624"/>
    </row>
    <row r="517" spans="1:8" ht="12.75" customHeight="1">
      <c r="C517" s="629" t="s">
        <v>1273</v>
      </c>
      <c r="D517" s="627" t="s">
        <v>1841</v>
      </c>
      <c r="E517" s="4729" t="s">
        <v>2919</v>
      </c>
      <c r="F517" s="4729"/>
      <c r="G517" s="4729"/>
      <c r="H517" s="4729"/>
    </row>
    <row r="518" spans="1:8" ht="12.75" customHeight="1">
      <c r="C518" s="1385" t="s">
        <v>3952</v>
      </c>
      <c r="E518" s="4729" t="s">
        <v>3038</v>
      </c>
      <c r="F518" s="4729"/>
      <c r="G518" s="4729"/>
      <c r="H518" s="4729"/>
    </row>
    <row r="519" spans="1:8" ht="12.75" customHeight="1">
      <c r="C519" s="1386"/>
      <c r="D519" s="1384" t="s">
        <v>2918</v>
      </c>
      <c r="E519" s="4732" t="s">
        <v>3039</v>
      </c>
      <c r="F519" s="4732"/>
      <c r="G519" s="4732"/>
      <c r="H519" s="4732"/>
    </row>
    <row r="520" spans="1:8" ht="6" customHeight="1">
      <c r="D520" s="627"/>
      <c r="E520" s="1004"/>
      <c r="F520" s="1004"/>
      <c r="G520" s="1004"/>
      <c r="H520" s="1004"/>
    </row>
    <row r="521" spans="1:8">
      <c r="A521" s="608" t="s">
        <v>2914</v>
      </c>
      <c r="B521" s="625">
        <f>IF('Part V-Revenues &amp; Expenses'!$L$56=0,"",'Part V-Revenues &amp; Expenses'!$L$56)</f>
        <v>5</v>
      </c>
      <c r="C521" s="608" t="s">
        <v>2915</v>
      </c>
      <c r="D521" s="626" t="s">
        <v>3040</v>
      </c>
    </row>
    <row r="522" spans="1:8" ht="1.9" customHeight="1"/>
    <row r="523" spans="1:8" ht="12.75" customHeight="1">
      <c r="C523" s="605" t="s">
        <v>2879</v>
      </c>
      <c r="D523" s="627" t="s">
        <v>1839</v>
      </c>
      <c r="E523" s="628"/>
      <c r="F523" s="624" t="s">
        <v>2880</v>
      </c>
      <c r="G523" s="624"/>
      <c r="H523" s="624"/>
    </row>
    <row r="524" spans="1:8" ht="12.75" customHeight="1">
      <c r="C524" s="629" t="s">
        <v>1273</v>
      </c>
      <c r="D524" s="627" t="s">
        <v>1841</v>
      </c>
      <c r="E524" s="4729" t="s">
        <v>2919</v>
      </c>
      <c r="F524" s="4729"/>
      <c r="G524" s="4729"/>
      <c r="H524" s="4729"/>
    </row>
    <row r="525" spans="1:8" ht="12.75" customHeight="1">
      <c r="C525" s="1385" t="s">
        <v>3952</v>
      </c>
      <c r="E525" s="4729" t="s">
        <v>3038</v>
      </c>
      <c r="F525" s="4729"/>
      <c r="G525" s="4729"/>
      <c r="H525" s="4729"/>
    </row>
    <row r="526" spans="1:8" ht="12.75" customHeight="1">
      <c r="C526" s="1386"/>
      <c r="D526" s="630" t="s">
        <v>2918</v>
      </c>
      <c r="E526" s="4729" t="s">
        <v>3039</v>
      </c>
      <c r="F526" s="4729"/>
      <c r="G526" s="4729"/>
      <c r="H526" s="4729"/>
    </row>
    <row r="527" spans="1:8" ht="3" customHeight="1">
      <c r="D527" s="627"/>
      <c r="E527" s="1004"/>
      <c r="F527" s="1004"/>
      <c r="G527" s="1004"/>
      <c r="H527" s="1004"/>
    </row>
    <row r="528" spans="1:8" ht="12.75" customHeight="1">
      <c r="C528" s="605" t="s">
        <v>2879</v>
      </c>
      <c r="D528" s="627" t="s">
        <v>1839</v>
      </c>
      <c r="E528" s="628"/>
      <c r="F528" s="624" t="s">
        <v>2880</v>
      </c>
      <c r="G528" s="624"/>
      <c r="H528" s="624"/>
    </row>
    <row r="529" spans="1:8" ht="12.75" customHeight="1">
      <c r="C529" s="629" t="s">
        <v>1273</v>
      </c>
      <c r="D529" s="627" t="s">
        <v>1841</v>
      </c>
      <c r="E529" s="4729" t="s">
        <v>2919</v>
      </c>
      <c r="F529" s="4729"/>
      <c r="G529" s="4729"/>
      <c r="H529" s="4729"/>
    </row>
    <row r="530" spans="1:8" ht="12.75" customHeight="1">
      <c r="C530" s="1385" t="s">
        <v>3952</v>
      </c>
      <c r="E530" s="4729" t="s">
        <v>3038</v>
      </c>
      <c r="F530" s="4729"/>
      <c r="G530" s="4729"/>
      <c r="H530" s="4729"/>
    </row>
    <row r="531" spans="1:8" ht="12.75" customHeight="1">
      <c r="C531" s="1386"/>
      <c r="D531" s="1384" t="s">
        <v>2918</v>
      </c>
      <c r="E531" s="4732" t="s">
        <v>3039</v>
      </c>
      <c r="F531" s="4732"/>
      <c r="G531" s="4732"/>
      <c r="H531" s="4732"/>
    </row>
    <row r="532" spans="1:8" ht="3" customHeight="1">
      <c r="D532" s="627"/>
      <c r="E532" s="1004"/>
      <c r="F532" s="1004"/>
      <c r="G532" s="1004"/>
      <c r="H532" s="1004"/>
    </row>
    <row r="533" spans="1:8" ht="12.75" customHeight="1">
      <c r="C533" s="605" t="s">
        <v>2879</v>
      </c>
      <c r="D533" s="627" t="s">
        <v>1839</v>
      </c>
      <c r="E533" s="628"/>
      <c r="F533" s="624" t="s">
        <v>2880</v>
      </c>
      <c r="G533" s="624"/>
      <c r="H533" s="624"/>
    </row>
    <row r="534" spans="1:8" ht="12.75" customHeight="1">
      <c r="C534" s="629" t="s">
        <v>1273</v>
      </c>
      <c r="D534" s="627" t="s">
        <v>1841</v>
      </c>
      <c r="E534" s="4729" t="s">
        <v>2919</v>
      </c>
      <c r="F534" s="4729"/>
      <c r="G534" s="4729"/>
      <c r="H534" s="4729"/>
    </row>
    <row r="535" spans="1:8" ht="12.75" customHeight="1">
      <c r="C535" s="1385" t="s">
        <v>3952</v>
      </c>
      <c r="E535" s="4729" t="s">
        <v>3038</v>
      </c>
      <c r="F535" s="4729"/>
      <c r="G535" s="4729"/>
      <c r="H535" s="4729"/>
    </row>
    <row r="536" spans="1:8" ht="12.75" customHeight="1">
      <c r="C536" s="1386"/>
      <c r="D536" s="1384" t="s">
        <v>2918</v>
      </c>
      <c r="E536" s="4732" t="s">
        <v>3039</v>
      </c>
      <c r="F536" s="4732"/>
      <c r="G536" s="4732"/>
      <c r="H536" s="4732"/>
    </row>
    <row r="537" spans="1:8" ht="6" customHeight="1">
      <c r="D537" s="627"/>
      <c r="E537" s="1004"/>
      <c r="F537" s="1004"/>
      <c r="G537" s="1004"/>
      <c r="H537" s="1004"/>
    </row>
    <row r="538" spans="1:8">
      <c r="A538" s="608" t="s">
        <v>2914</v>
      </c>
      <c r="B538" s="625">
        <f>IF('Part V-Revenues &amp; Expenses'!$M$56=0,"",'Part V-Revenues &amp; Expenses'!$M$56)</f>
        <v>1</v>
      </c>
      <c r="C538" s="608" t="s">
        <v>2916</v>
      </c>
      <c r="D538" s="626" t="s">
        <v>3041</v>
      </c>
    </row>
    <row r="539" spans="1:8" ht="1.9" customHeight="1"/>
    <row r="540" spans="1:8" ht="12.75" customHeight="1">
      <c r="C540" s="605" t="s">
        <v>2879</v>
      </c>
      <c r="D540" s="627" t="s">
        <v>1839</v>
      </c>
      <c r="E540" s="628"/>
      <c r="F540" s="624" t="s">
        <v>2880</v>
      </c>
      <c r="G540" s="624"/>
      <c r="H540" s="624"/>
    </row>
    <row r="541" spans="1:8" ht="12.75" customHeight="1">
      <c r="C541" s="629" t="s">
        <v>1273</v>
      </c>
      <c r="D541" s="627" t="s">
        <v>1841</v>
      </c>
      <c r="E541" s="4729" t="s">
        <v>2919</v>
      </c>
      <c r="F541" s="4729"/>
      <c r="G541" s="4729"/>
      <c r="H541" s="4729"/>
    </row>
    <row r="542" spans="1:8" ht="12.75" customHeight="1">
      <c r="C542" s="1385" t="s">
        <v>3952</v>
      </c>
      <c r="E542" s="4729" t="s">
        <v>3038</v>
      </c>
      <c r="F542" s="4729"/>
      <c r="G542" s="4729"/>
      <c r="H542" s="4729"/>
    </row>
    <row r="543" spans="1:8" ht="12.75" customHeight="1">
      <c r="C543" s="1386"/>
      <c r="D543" s="630" t="s">
        <v>2918</v>
      </c>
      <c r="E543" s="4729" t="s">
        <v>3039</v>
      </c>
      <c r="F543" s="4729"/>
      <c r="G543" s="4729"/>
      <c r="H543" s="4729"/>
    </row>
    <row r="544" spans="1:8" ht="3" customHeight="1">
      <c r="D544" s="627"/>
      <c r="E544" s="1004"/>
      <c r="F544" s="1004"/>
      <c r="G544" s="1004"/>
      <c r="H544" s="1004"/>
    </row>
    <row r="545" spans="1:8" ht="12.75" customHeight="1">
      <c r="C545" s="605" t="s">
        <v>2879</v>
      </c>
      <c r="D545" s="627" t="s">
        <v>1839</v>
      </c>
      <c r="E545" s="628"/>
      <c r="F545" s="624" t="s">
        <v>2880</v>
      </c>
      <c r="G545" s="624"/>
      <c r="H545" s="624"/>
    </row>
    <row r="546" spans="1:8" ht="12.75" customHeight="1">
      <c r="C546" s="629" t="s">
        <v>1273</v>
      </c>
      <c r="D546" s="627" t="s">
        <v>1841</v>
      </c>
      <c r="E546" s="4729" t="s">
        <v>2919</v>
      </c>
      <c r="F546" s="4729"/>
      <c r="G546" s="4729"/>
      <c r="H546" s="4729"/>
    </row>
    <row r="547" spans="1:8" ht="12.75" customHeight="1">
      <c r="C547" s="1385" t="s">
        <v>3952</v>
      </c>
      <c r="E547" s="4729" t="s">
        <v>3038</v>
      </c>
      <c r="F547" s="4729"/>
      <c r="G547" s="4729"/>
      <c r="H547" s="4729"/>
    </row>
    <row r="548" spans="1:8" ht="12.75" customHeight="1">
      <c r="C548" s="1386"/>
      <c r="D548" s="1384" t="s">
        <v>2918</v>
      </c>
      <c r="E548" s="4732" t="s">
        <v>3039</v>
      </c>
      <c r="F548" s="4732"/>
      <c r="G548" s="4732"/>
      <c r="H548" s="4732"/>
    </row>
    <row r="549" spans="1:8" ht="3" customHeight="1">
      <c r="D549" s="627"/>
      <c r="E549" s="1004"/>
      <c r="F549" s="1004"/>
      <c r="G549" s="1004"/>
      <c r="H549" s="1004"/>
    </row>
    <row r="550" spans="1:8" ht="12.75" customHeight="1">
      <c r="C550" s="605" t="s">
        <v>2879</v>
      </c>
      <c r="D550" s="627" t="s">
        <v>1839</v>
      </c>
      <c r="E550" s="628"/>
      <c r="F550" s="624" t="s">
        <v>2880</v>
      </c>
      <c r="G550" s="624"/>
      <c r="H550" s="624"/>
    </row>
    <row r="551" spans="1:8" ht="12.75" customHeight="1">
      <c r="C551" s="629" t="s">
        <v>1273</v>
      </c>
      <c r="D551" s="627" t="s">
        <v>1841</v>
      </c>
      <c r="E551" s="4729" t="s">
        <v>2919</v>
      </c>
      <c r="F551" s="4729"/>
      <c r="G551" s="4729"/>
      <c r="H551" s="4729"/>
    </row>
    <row r="552" spans="1:8" ht="12.75" customHeight="1">
      <c r="C552" s="1385" t="s">
        <v>3952</v>
      </c>
      <c r="E552" s="4729" t="s">
        <v>3038</v>
      </c>
      <c r="F552" s="4729"/>
      <c r="G552" s="4729"/>
      <c r="H552" s="4729"/>
    </row>
    <row r="553" spans="1:8" ht="12.75" customHeight="1">
      <c r="C553" s="1386"/>
      <c r="D553" s="1384" t="s">
        <v>2918</v>
      </c>
      <c r="E553" s="4732" t="s">
        <v>3039</v>
      </c>
      <c r="F553" s="4732"/>
      <c r="G553" s="4732"/>
      <c r="H553" s="4732"/>
    </row>
    <row r="554" spans="1:8" ht="6" customHeight="1">
      <c r="D554" s="627"/>
      <c r="E554" s="1004"/>
      <c r="F554" s="1004"/>
      <c r="G554" s="1004"/>
      <c r="H554" s="1004"/>
    </row>
    <row r="555" spans="1:8">
      <c r="A555" s="608" t="s">
        <v>2914</v>
      </c>
      <c r="B555" s="625">
        <f>IF('Part V-Revenues &amp; Expenses'!$N$56=0,"",'Part V-Revenues &amp; Expenses'!$N$56)</f>
        <v>1</v>
      </c>
      <c r="C555" s="608" t="s">
        <v>2917</v>
      </c>
      <c r="D555" s="626" t="s">
        <v>3042</v>
      </c>
    </row>
    <row r="556" spans="1:8" ht="1.9" customHeight="1"/>
    <row r="557" spans="1:8" ht="12.75" customHeight="1">
      <c r="C557" s="605" t="s">
        <v>2879</v>
      </c>
      <c r="D557" s="627" t="s">
        <v>1839</v>
      </c>
      <c r="E557" s="628"/>
      <c r="F557" s="624" t="s">
        <v>2880</v>
      </c>
      <c r="G557" s="624"/>
      <c r="H557" s="624"/>
    </row>
    <row r="558" spans="1:8" ht="12.75" customHeight="1">
      <c r="C558" s="629" t="s">
        <v>1273</v>
      </c>
      <c r="D558" s="627" t="s">
        <v>1841</v>
      </c>
      <c r="E558" s="4729" t="s">
        <v>2919</v>
      </c>
      <c r="F558" s="4729"/>
      <c r="G558" s="4729"/>
      <c r="H558" s="4729"/>
    </row>
    <row r="559" spans="1:8" ht="12.75" customHeight="1">
      <c r="C559" s="1385" t="s">
        <v>3952</v>
      </c>
      <c r="E559" s="4729" t="s">
        <v>3038</v>
      </c>
      <c r="F559" s="4729"/>
      <c r="G559" s="4729"/>
      <c r="H559" s="4729"/>
    </row>
    <row r="560" spans="1:8" ht="12.75" customHeight="1">
      <c r="C560" s="1386"/>
      <c r="D560" s="630" t="s">
        <v>2918</v>
      </c>
      <c r="E560" s="4729" t="s">
        <v>3039</v>
      </c>
      <c r="F560" s="4729"/>
      <c r="G560" s="4729"/>
      <c r="H560" s="4729"/>
    </row>
    <row r="561" spans="1:11" ht="3" customHeight="1">
      <c r="D561" s="627"/>
      <c r="E561" s="1004"/>
      <c r="F561" s="1004"/>
      <c r="G561" s="1004"/>
      <c r="H561" s="1004"/>
    </row>
    <row r="562" spans="1:11" ht="12.75" customHeight="1">
      <c r="C562" s="605" t="s">
        <v>2879</v>
      </c>
      <c r="D562" s="627" t="s">
        <v>1839</v>
      </c>
      <c r="E562" s="628"/>
      <c r="F562" s="624" t="s">
        <v>2880</v>
      </c>
      <c r="G562" s="624"/>
      <c r="H562" s="624"/>
    </row>
    <row r="563" spans="1:11" ht="12.75" customHeight="1">
      <c r="C563" s="629" t="s">
        <v>1273</v>
      </c>
      <c r="D563" s="627" t="s">
        <v>1841</v>
      </c>
      <c r="E563" s="4729" t="s">
        <v>2919</v>
      </c>
      <c r="F563" s="4729"/>
      <c r="G563" s="4729"/>
      <c r="H563" s="4729"/>
    </row>
    <row r="564" spans="1:11" ht="12.75" customHeight="1">
      <c r="C564" s="1385" t="s">
        <v>3952</v>
      </c>
      <c r="E564" s="4729" t="s">
        <v>3038</v>
      </c>
      <c r="F564" s="4729"/>
      <c r="G564" s="4729"/>
      <c r="H564" s="4729"/>
    </row>
    <row r="565" spans="1:11" ht="12.75" customHeight="1">
      <c r="C565" s="1386"/>
      <c r="D565" s="1384" t="s">
        <v>2918</v>
      </c>
      <c r="E565" s="4732" t="s">
        <v>3039</v>
      </c>
      <c r="F565" s="4732"/>
      <c r="G565" s="4732"/>
      <c r="H565" s="4732"/>
    </row>
    <row r="566" spans="1:11" ht="3" customHeight="1">
      <c r="D566" s="627"/>
      <c r="E566" s="1004"/>
      <c r="F566" s="1004"/>
      <c r="G566" s="1004"/>
      <c r="H566" s="1004"/>
    </row>
    <row r="567" spans="1:11" ht="12.75" customHeight="1">
      <c r="C567" s="605" t="s">
        <v>2879</v>
      </c>
      <c r="D567" s="627" t="s">
        <v>1839</v>
      </c>
      <c r="E567" s="628"/>
      <c r="F567" s="624" t="s">
        <v>2880</v>
      </c>
      <c r="G567" s="624"/>
      <c r="H567" s="624"/>
    </row>
    <row r="568" spans="1:11" ht="12.75" customHeight="1">
      <c r="C568" s="629" t="s">
        <v>1273</v>
      </c>
      <c r="D568" s="627" t="s">
        <v>1841</v>
      </c>
      <c r="E568" s="4729" t="s">
        <v>2919</v>
      </c>
      <c r="F568" s="4729"/>
      <c r="G568" s="4729"/>
      <c r="H568" s="4729"/>
    </row>
    <row r="569" spans="1:11" ht="12.75" customHeight="1">
      <c r="C569" s="1385" t="s">
        <v>3952</v>
      </c>
      <c r="E569" s="4729" t="s">
        <v>3038</v>
      </c>
      <c r="F569" s="4729"/>
      <c r="G569" s="4729"/>
      <c r="H569" s="4729"/>
    </row>
    <row r="570" spans="1:11" ht="12.75" customHeight="1">
      <c r="C570" s="1386"/>
      <c r="D570" s="1384" t="s">
        <v>2918</v>
      </c>
      <c r="E570" s="4732" t="s">
        <v>3039</v>
      </c>
      <c r="F570" s="4732"/>
      <c r="G570" s="4732"/>
      <c r="H570" s="4732"/>
    </row>
    <row r="571" spans="1:11" ht="6" customHeight="1">
      <c r="D571" s="627"/>
      <c r="E571" s="1004"/>
      <c r="F571" s="1004"/>
      <c r="G571" s="1004"/>
      <c r="H571" s="1004"/>
    </row>
    <row r="572" spans="1:11">
      <c r="A572" s="608" t="s">
        <v>2914</v>
      </c>
      <c r="B572" s="625" t="str">
        <f>IF('Part V-Revenues &amp; Expenses'!$O$56=0,"",'Part V-Revenues &amp; Expenses'!$O$56)</f>
        <v/>
      </c>
      <c r="C572" s="608" t="s">
        <v>3950</v>
      </c>
      <c r="D572" s="626" t="s">
        <v>3951</v>
      </c>
    </row>
    <row r="573" spans="1:11" ht="1.9" customHeight="1"/>
    <row r="574" spans="1:11" ht="12.75" customHeight="1">
      <c r="C574" s="605" t="s">
        <v>2879</v>
      </c>
      <c r="D574" s="627" t="s">
        <v>1839</v>
      </c>
      <c r="E574" s="628"/>
      <c r="F574" s="4729" t="s">
        <v>2880</v>
      </c>
      <c r="G574" s="4729"/>
      <c r="H574" s="4729"/>
      <c r="K574" s="431" t="s">
        <v>233</v>
      </c>
    </row>
    <row r="575" spans="1:11" ht="12.75" customHeight="1">
      <c r="C575" s="629" t="s">
        <v>1273</v>
      </c>
      <c r="D575" s="627" t="s">
        <v>1841</v>
      </c>
      <c r="E575" s="4729" t="s">
        <v>2920</v>
      </c>
      <c r="F575" s="4729"/>
      <c r="G575" s="4729"/>
      <c r="H575" s="4729"/>
    </row>
    <row r="576" spans="1:11" ht="12.75" customHeight="1">
      <c r="E576" s="4729" t="s">
        <v>3038</v>
      </c>
      <c r="F576" s="4729"/>
      <c r="G576" s="4729"/>
      <c r="H576" s="4729"/>
    </row>
    <row r="577" spans="4:8" ht="12.75" customHeight="1">
      <c r="D577" s="630" t="s">
        <v>2918</v>
      </c>
      <c r="E577" s="4729" t="s">
        <v>3039</v>
      </c>
      <c r="F577" s="4729"/>
      <c r="G577" s="4729"/>
      <c r="H577" s="4729"/>
    </row>
    <row r="578" spans="4:8" ht="9" customHeight="1"/>
    <row r="579" spans="4:8" ht="7.5" customHeight="1">
      <c r="E579" s="4729"/>
      <c r="F579" s="4729"/>
      <c r="G579" s="4729"/>
      <c r="H579" s="4729"/>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4213</v>
      </c>
      <c r="E1" s="1651" t="s">
        <v>4203</v>
      </c>
      <c r="F1" s="1651" t="s">
        <v>4214</v>
      </c>
      <c r="H1" s="1651" t="s">
        <v>4215</v>
      </c>
      <c r="J1" s="1651" t="s">
        <v>4216</v>
      </c>
      <c r="K1" s="1651" t="s">
        <v>4217</v>
      </c>
      <c r="L1" s="1651" t="s">
        <v>4218</v>
      </c>
      <c r="M1" s="1651" t="s">
        <v>4219</v>
      </c>
      <c r="O1" s="1651" t="s">
        <v>4220</v>
      </c>
      <c r="Q1" s="1651" t="s">
        <v>4221</v>
      </c>
      <c r="Z1" s="1618">
        <v>1</v>
      </c>
    </row>
    <row r="2" spans="1:26" s="144" customFormat="1" ht="14.1" customHeight="1">
      <c r="A2" s="3000" t="e">
        <f>CONCATENATE("PART TWO - DEVELOPMENT TEAM INFORMATION","  -  ",#REF!," ",#REF!,", ",#REF!,", ",#REF!," County")</f>
        <v>#REF!</v>
      </c>
      <c r="B2" s="3001"/>
      <c r="C2" s="3001"/>
      <c r="D2" s="3001"/>
      <c r="E2" s="3001"/>
      <c r="F2" s="3001"/>
      <c r="G2" s="3001"/>
      <c r="H2" s="3001"/>
      <c r="I2" s="3001"/>
      <c r="J2" s="3001"/>
      <c r="K2" s="3001"/>
      <c r="L2" s="3001"/>
      <c r="M2" s="3001"/>
      <c r="N2" s="3001"/>
      <c r="O2" s="3001"/>
      <c r="P2" s="3001"/>
      <c r="Q2" s="3001"/>
      <c r="R2" s="3001"/>
      <c r="S2" s="3002"/>
      <c r="Z2" s="1618">
        <v>2</v>
      </c>
    </row>
    <row r="3" spans="1:26" ht="12" customHeight="1" thickBot="1">
      <c r="A3" s="730" t="s">
        <v>3539</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3372</v>
      </c>
      <c r="O4" s="3004" t="e">
        <f>#REF!</f>
        <v>#REF!</v>
      </c>
      <c r="P4" s="3005"/>
      <c r="Q4" s="3005"/>
      <c r="R4" s="3005"/>
      <c r="S4" s="3006"/>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44" t="s">
        <v>87</v>
      </c>
      <c r="I6" s="2988"/>
      <c r="J6" s="2988"/>
      <c r="K6" s="2988"/>
      <c r="L6" s="2988"/>
      <c r="M6" s="2988"/>
      <c r="N6" s="2989"/>
      <c r="O6" s="259" t="s">
        <v>1842</v>
      </c>
      <c r="P6" s="259"/>
      <c r="Q6" s="2944"/>
      <c r="R6" s="2988"/>
      <c r="S6" s="2989"/>
      <c r="Y6" s="826"/>
      <c r="Z6" s="1618">
        <v>6</v>
      </c>
    </row>
    <row r="7" spans="1:26" s="144" customFormat="1" ht="11.25" customHeight="1">
      <c r="D7" s="260"/>
      <c r="E7" s="246" t="s">
        <v>956</v>
      </c>
      <c r="F7" s="247"/>
      <c r="H7" s="2917"/>
      <c r="I7" s="2991"/>
      <c r="J7" s="2991"/>
      <c r="K7" s="2992"/>
      <c r="L7" s="2991"/>
      <c r="M7" s="2991"/>
      <c r="N7" s="2993"/>
      <c r="O7" s="259" t="s">
        <v>1621</v>
      </c>
      <c r="P7" s="261"/>
      <c r="Q7" s="2994"/>
      <c r="R7" s="2995"/>
      <c r="S7" s="2996"/>
      <c r="V7" s="826"/>
      <c r="W7" s="826"/>
      <c r="X7" s="826"/>
      <c r="Y7" s="826"/>
      <c r="Z7" s="1618">
        <v>7</v>
      </c>
    </row>
    <row r="8" spans="1:26" s="144" customFormat="1" ht="11.25" customHeight="1">
      <c r="D8" s="260"/>
      <c r="E8" s="246" t="s">
        <v>574</v>
      </c>
      <c r="H8" s="2917"/>
      <c r="I8" s="2992"/>
      <c r="J8" s="2997"/>
      <c r="K8" s="334" t="s">
        <v>709</v>
      </c>
      <c r="L8" s="3003"/>
      <c r="M8" s="2991"/>
      <c r="N8" s="2993"/>
      <c r="O8" s="259" t="s">
        <v>1598</v>
      </c>
      <c r="P8" s="261"/>
      <c r="Q8" s="2909"/>
      <c r="R8" s="2910"/>
      <c r="S8" s="2911"/>
      <c r="Z8" s="1618">
        <v>8</v>
      </c>
    </row>
    <row r="9" spans="1:26" s="144" customFormat="1" ht="11.25" customHeight="1">
      <c r="D9" s="260"/>
      <c r="E9" s="246" t="s">
        <v>1666</v>
      </c>
      <c r="H9" s="981"/>
      <c r="I9" s="664" t="s">
        <v>2056</v>
      </c>
      <c r="J9" s="2980"/>
      <c r="K9" s="2981"/>
      <c r="L9" s="261" t="s">
        <v>3111</v>
      </c>
      <c r="M9" s="2982"/>
      <c r="N9" s="2983"/>
      <c r="O9" s="259" t="s">
        <v>1833</v>
      </c>
      <c r="P9" s="261"/>
      <c r="Q9" s="2909"/>
      <c r="R9" s="2910"/>
      <c r="S9" s="2911"/>
      <c r="Z9" s="1618">
        <v>9</v>
      </c>
    </row>
    <row r="10" spans="1:26" s="144" customFormat="1" ht="11.25" customHeight="1">
      <c r="D10" s="260"/>
      <c r="E10" s="246" t="s">
        <v>3373</v>
      </c>
      <c r="H10" s="2984"/>
      <c r="I10" s="2985"/>
      <c r="J10" s="699"/>
      <c r="K10" s="262" t="s">
        <v>1837</v>
      </c>
      <c r="L10" s="2986"/>
      <c r="M10" s="2939"/>
      <c r="N10" s="2939"/>
      <c r="O10" s="2915"/>
      <c r="P10" s="2915"/>
      <c r="Q10" s="2939"/>
      <c r="R10" s="2939"/>
      <c r="S10" s="2987"/>
      <c r="Z10" s="1618">
        <v>10</v>
      </c>
    </row>
    <row r="11" spans="1:26" s="144" customFormat="1" ht="11.25" customHeight="1">
      <c r="D11" s="260"/>
      <c r="E11" s="932" t="s">
        <v>3372</v>
      </c>
      <c r="H11" s="263"/>
      <c r="I11" s="261"/>
      <c r="J11" s="261"/>
      <c r="K11" s="304"/>
      <c r="L11" s="261"/>
      <c r="M11" s="261"/>
      <c r="N11" s="335" t="s">
        <v>3053</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4"/>
      <c r="I15" s="2988"/>
      <c r="J15" s="2988"/>
      <c r="K15" s="2988"/>
      <c r="L15" s="2988"/>
      <c r="M15" s="2988"/>
      <c r="N15" s="2989"/>
      <c r="O15" s="259" t="s">
        <v>1842</v>
      </c>
      <c r="P15" s="259"/>
      <c r="Q15" s="2944"/>
      <c r="R15" s="2988"/>
      <c r="S15" s="2989"/>
      <c r="Z15" s="1618">
        <v>15</v>
      </c>
    </row>
    <row r="16" spans="1:26" s="144" customFormat="1" ht="11.25" customHeight="1">
      <c r="D16" s="260"/>
      <c r="E16" s="246" t="s">
        <v>956</v>
      </c>
      <c r="F16" s="247"/>
      <c r="H16" s="2917"/>
      <c r="I16" s="2991"/>
      <c r="J16" s="2991"/>
      <c r="K16" s="2992"/>
      <c r="L16" s="2991"/>
      <c r="M16" s="2991"/>
      <c r="N16" s="2993"/>
      <c r="O16" s="259" t="s">
        <v>1621</v>
      </c>
      <c r="P16" s="261"/>
      <c r="Q16" s="2994"/>
      <c r="R16" s="2995"/>
      <c r="S16" s="2996"/>
      <c r="Z16" s="1618">
        <v>16</v>
      </c>
    </row>
    <row r="17" spans="4:26" s="144" customFormat="1" ht="11.25" customHeight="1">
      <c r="D17" s="260"/>
      <c r="E17" s="246" t="s">
        <v>574</v>
      </c>
      <c r="H17" s="2917"/>
      <c r="I17" s="2992"/>
      <c r="J17" s="2997"/>
      <c r="K17" s="262" t="s">
        <v>2452</v>
      </c>
      <c r="L17" s="2917"/>
      <c r="M17" s="2991"/>
      <c r="N17" s="2997"/>
      <c r="O17" s="259" t="s">
        <v>1598</v>
      </c>
      <c r="P17" s="261"/>
      <c r="Q17" s="2909"/>
      <c r="R17" s="2910"/>
      <c r="S17" s="2911"/>
      <c r="Z17" s="1618">
        <v>17</v>
      </c>
    </row>
    <row r="18" spans="4:26" s="144" customFormat="1" ht="11.25" customHeight="1">
      <c r="D18" s="243"/>
      <c r="E18" s="246" t="s">
        <v>1666</v>
      </c>
      <c r="H18" s="981"/>
      <c r="I18" s="261"/>
      <c r="J18" s="261"/>
      <c r="K18" s="664" t="s">
        <v>2056</v>
      </c>
      <c r="L18" s="2998"/>
      <c r="M18" s="2999"/>
      <c r="N18" s="261"/>
      <c r="O18" s="259" t="s">
        <v>1833</v>
      </c>
      <c r="P18" s="261"/>
      <c r="Q18" s="2909"/>
      <c r="R18" s="2910"/>
      <c r="S18" s="2911"/>
      <c r="Z18" s="1618">
        <v>18</v>
      </c>
    </row>
    <row r="19" spans="4:26" s="144" customFormat="1" ht="11.25" customHeight="1">
      <c r="D19" s="260"/>
      <c r="E19" s="246" t="s">
        <v>3373</v>
      </c>
      <c r="H19" s="2984"/>
      <c r="I19" s="2990"/>
      <c r="J19" s="255"/>
      <c r="K19" s="262" t="s">
        <v>1837</v>
      </c>
      <c r="L19" s="2938"/>
      <c r="M19" s="2939"/>
      <c r="N19" s="2915"/>
      <c r="O19" s="2915"/>
      <c r="P19" s="2915"/>
      <c r="Q19" s="2939"/>
      <c r="R19" s="2939"/>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4"/>
      <c r="I21" s="2988"/>
      <c r="J21" s="2988"/>
      <c r="K21" s="2988"/>
      <c r="L21" s="2988"/>
      <c r="M21" s="2988"/>
      <c r="N21" s="2989"/>
      <c r="O21" s="259" t="s">
        <v>1842</v>
      </c>
      <c r="P21" s="259"/>
      <c r="Q21" s="2944"/>
      <c r="R21" s="2988"/>
      <c r="S21" s="2989"/>
      <c r="Z21" s="1618">
        <v>21</v>
      </c>
    </row>
    <row r="22" spans="4:26" s="144" customFormat="1" ht="11.25" customHeight="1">
      <c r="D22" s="260"/>
      <c r="E22" s="246" t="s">
        <v>956</v>
      </c>
      <c r="F22" s="247"/>
      <c r="H22" s="2917"/>
      <c r="I22" s="2991"/>
      <c r="J22" s="2991"/>
      <c r="K22" s="2992"/>
      <c r="L22" s="2991"/>
      <c r="M22" s="2991"/>
      <c r="N22" s="2993"/>
      <c r="O22" s="259" t="s">
        <v>1621</v>
      </c>
      <c r="P22" s="261"/>
      <c r="Q22" s="2994"/>
      <c r="R22" s="2995"/>
      <c r="S22" s="2996"/>
      <c r="Z22" s="1618">
        <v>22</v>
      </c>
    </row>
    <row r="23" spans="4:26" s="144" customFormat="1" ht="11.25" customHeight="1">
      <c r="D23" s="260"/>
      <c r="E23" s="246" t="s">
        <v>574</v>
      </c>
      <c r="H23" s="2917"/>
      <c r="I23" s="2992"/>
      <c r="J23" s="2997"/>
      <c r="K23" s="262" t="s">
        <v>2452</v>
      </c>
      <c r="L23" s="2917"/>
      <c r="M23" s="2991"/>
      <c r="N23" s="2997"/>
      <c r="O23" s="259" t="s">
        <v>1598</v>
      </c>
      <c r="P23" s="261"/>
      <c r="Q23" s="2909"/>
      <c r="R23" s="2910"/>
      <c r="S23" s="2911"/>
      <c r="Z23" s="1618">
        <v>23</v>
      </c>
    </row>
    <row r="24" spans="4:26" s="144" customFormat="1" ht="11.25" customHeight="1">
      <c r="E24" s="246" t="s">
        <v>1666</v>
      </c>
      <c r="H24" s="981"/>
      <c r="I24" s="261"/>
      <c r="J24" s="261"/>
      <c r="K24" s="664" t="s">
        <v>2056</v>
      </c>
      <c r="L24" s="2998"/>
      <c r="M24" s="2999"/>
      <c r="N24" s="261"/>
      <c r="O24" s="259" t="s">
        <v>1833</v>
      </c>
      <c r="P24" s="261"/>
      <c r="Q24" s="2909"/>
      <c r="R24" s="2910"/>
      <c r="S24" s="2911"/>
      <c r="Z24" s="1618">
        <v>24</v>
      </c>
    </row>
    <row r="25" spans="4:26" s="144" customFormat="1" ht="11.25" customHeight="1">
      <c r="D25" s="260"/>
      <c r="E25" s="246" t="s">
        <v>3373</v>
      </c>
      <c r="H25" s="2984"/>
      <c r="I25" s="2990"/>
      <c r="J25" s="255"/>
      <c r="K25" s="262" t="s">
        <v>1837</v>
      </c>
      <c r="L25" s="2938"/>
      <c r="M25" s="2939"/>
      <c r="N25" s="2915"/>
      <c r="O25" s="2915"/>
      <c r="P25" s="2915"/>
      <c r="Q25" s="2939"/>
      <c r="R25" s="2939"/>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4"/>
      <c r="I27" s="2988"/>
      <c r="J27" s="2988"/>
      <c r="K27" s="2988"/>
      <c r="L27" s="2988"/>
      <c r="M27" s="2988"/>
      <c r="N27" s="2989"/>
      <c r="O27" s="259" t="s">
        <v>1842</v>
      </c>
      <c r="P27" s="259"/>
      <c r="Q27" s="2944"/>
      <c r="R27" s="2988"/>
      <c r="S27" s="2989"/>
      <c r="Z27" s="1618">
        <v>27</v>
      </c>
    </row>
    <row r="28" spans="4:26" s="144" customFormat="1" ht="11.25" customHeight="1">
      <c r="D28" s="260"/>
      <c r="E28" s="246" t="s">
        <v>956</v>
      </c>
      <c r="F28" s="247"/>
      <c r="H28" s="2917"/>
      <c r="I28" s="2991"/>
      <c r="J28" s="2991"/>
      <c r="K28" s="2992"/>
      <c r="L28" s="2991"/>
      <c r="M28" s="2991"/>
      <c r="N28" s="2993"/>
      <c r="O28" s="259" t="s">
        <v>1621</v>
      </c>
      <c r="P28" s="261"/>
      <c r="Q28" s="2994"/>
      <c r="R28" s="2995"/>
      <c r="S28" s="2996"/>
      <c r="Z28" s="1618">
        <v>28</v>
      </c>
    </row>
    <row r="29" spans="4:26" s="144" customFormat="1" ht="11.25" customHeight="1">
      <c r="D29" s="260"/>
      <c r="E29" s="246" t="s">
        <v>574</v>
      </c>
      <c r="H29" s="2917"/>
      <c r="I29" s="2992"/>
      <c r="J29" s="2997"/>
      <c r="K29" s="262" t="s">
        <v>2452</v>
      </c>
      <c r="L29" s="2917"/>
      <c r="M29" s="2991"/>
      <c r="N29" s="2997"/>
      <c r="O29" s="259" t="s">
        <v>1598</v>
      </c>
      <c r="P29" s="261"/>
      <c r="Q29" s="2909"/>
      <c r="R29" s="2910"/>
      <c r="S29" s="2911"/>
      <c r="Z29" s="1618">
        <v>29</v>
      </c>
    </row>
    <row r="30" spans="4:26" s="144" customFormat="1" ht="11.25" customHeight="1">
      <c r="E30" s="246" t="s">
        <v>1666</v>
      </c>
      <c r="H30" s="981"/>
      <c r="I30" s="261"/>
      <c r="J30" s="261"/>
      <c r="K30" s="664" t="s">
        <v>2056</v>
      </c>
      <c r="L30" s="2998"/>
      <c r="M30" s="2999"/>
      <c r="N30" s="261"/>
      <c r="O30" s="259" t="s">
        <v>1833</v>
      </c>
      <c r="P30" s="261"/>
      <c r="Q30" s="2909"/>
      <c r="R30" s="2910"/>
      <c r="S30" s="2911"/>
      <c r="Z30" s="1618">
        <v>30</v>
      </c>
    </row>
    <row r="31" spans="4:26" s="144" customFormat="1" ht="11.25" customHeight="1">
      <c r="D31" s="260"/>
      <c r="E31" s="246" t="s">
        <v>3373</v>
      </c>
      <c r="H31" s="2984"/>
      <c r="I31" s="2990"/>
      <c r="J31" s="255"/>
      <c r="K31" s="262" t="s">
        <v>1837</v>
      </c>
      <c r="L31" s="2938"/>
      <c r="M31" s="2939"/>
      <c r="N31" s="2915"/>
      <c r="O31" s="2915"/>
      <c r="P31" s="2915"/>
      <c r="Q31" s="2939"/>
      <c r="R31" s="2939"/>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3372</v>
      </c>
      <c r="L33" s="261"/>
      <c r="M33" s="261"/>
      <c r="N33" s="261"/>
      <c r="O33" s="261"/>
      <c r="P33" s="261"/>
      <c r="Q33" s="261"/>
      <c r="R33" s="261"/>
      <c r="S33" s="261"/>
      <c r="Z33" s="1618">
        <v>33</v>
      </c>
    </row>
    <row r="34" spans="3:26" s="144" customFormat="1" ht="11.25" customHeight="1">
      <c r="D34" s="243" t="s">
        <v>1958</v>
      </c>
      <c r="E34" s="144" t="s">
        <v>698</v>
      </c>
      <c r="H34" s="2944"/>
      <c r="I34" s="2988"/>
      <c r="J34" s="2988"/>
      <c r="K34" s="2988"/>
      <c r="L34" s="2988"/>
      <c r="M34" s="2988"/>
      <c r="N34" s="2989"/>
      <c r="O34" s="259" t="s">
        <v>1842</v>
      </c>
      <c r="P34" s="259"/>
      <c r="Q34" s="2944"/>
      <c r="R34" s="2988"/>
      <c r="S34" s="2989"/>
      <c r="Z34" s="1618">
        <v>34</v>
      </c>
    </row>
    <row r="35" spans="3:26" s="144" customFormat="1" ht="11.25" customHeight="1">
      <c r="D35" s="260"/>
      <c r="E35" s="246" t="s">
        <v>956</v>
      </c>
      <c r="F35" s="247"/>
      <c r="H35" s="2917"/>
      <c r="I35" s="2991"/>
      <c r="J35" s="2991"/>
      <c r="K35" s="2992"/>
      <c r="L35" s="2991"/>
      <c r="M35" s="2991"/>
      <c r="N35" s="2993"/>
      <c r="O35" s="259" t="s">
        <v>1621</v>
      </c>
      <c r="P35" s="261"/>
      <c r="Q35" s="2994"/>
      <c r="R35" s="2995"/>
      <c r="S35" s="2996"/>
      <c r="Z35" s="1618">
        <v>35</v>
      </c>
    </row>
    <row r="36" spans="3:26" s="144" customFormat="1" ht="11.25" customHeight="1">
      <c r="D36" s="260"/>
      <c r="E36" s="246" t="s">
        <v>574</v>
      </c>
      <c r="H36" s="2917"/>
      <c r="I36" s="2992"/>
      <c r="J36" s="2997"/>
      <c r="K36" s="262" t="s">
        <v>2452</v>
      </c>
      <c r="L36" s="2917"/>
      <c r="M36" s="2991"/>
      <c r="N36" s="2997"/>
      <c r="O36" s="259" t="s">
        <v>1598</v>
      </c>
      <c r="P36" s="261"/>
      <c r="Q36" s="2909"/>
      <c r="R36" s="2910"/>
      <c r="S36" s="2911"/>
      <c r="Z36" s="1618">
        <v>36</v>
      </c>
    </row>
    <row r="37" spans="3:26" s="144" customFormat="1" ht="11.25" customHeight="1">
      <c r="E37" s="246" t="s">
        <v>1666</v>
      </c>
      <c r="H37" s="981"/>
      <c r="I37" s="261"/>
      <c r="J37" s="261"/>
      <c r="K37" s="664" t="s">
        <v>2056</v>
      </c>
      <c r="L37" s="2998"/>
      <c r="M37" s="2999"/>
      <c r="N37" s="261"/>
      <c r="O37" s="259" t="s">
        <v>1833</v>
      </c>
      <c r="P37" s="261"/>
      <c r="Q37" s="2909"/>
      <c r="R37" s="2910"/>
      <c r="S37" s="2911"/>
      <c r="Z37" s="1618">
        <v>37</v>
      </c>
    </row>
    <row r="38" spans="3:26" s="144" customFormat="1" ht="11.25" customHeight="1">
      <c r="D38" s="260"/>
      <c r="E38" s="246" t="s">
        <v>3373</v>
      </c>
      <c r="H38" s="2984"/>
      <c r="I38" s="2990"/>
      <c r="J38" s="255"/>
      <c r="K38" s="262" t="s">
        <v>1837</v>
      </c>
      <c r="L38" s="2938"/>
      <c r="M38" s="2939"/>
      <c r="N38" s="2915"/>
      <c r="O38" s="2915"/>
      <c r="P38" s="2915"/>
      <c r="Q38" s="2939"/>
      <c r="R38" s="2939"/>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4"/>
      <c r="I40" s="2988"/>
      <c r="J40" s="2988"/>
      <c r="K40" s="2988"/>
      <c r="L40" s="2988"/>
      <c r="M40" s="2988"/>
      <c r="N40" s="2989"/>
      <c r="O40" s="259" t="s">
        <v>1842</v>
      </c>
      <c r="P40" s="259"/>
      <c r="Q40" s="2944"/>
      <c r="R40" s="2988"/>
      <c r="S40" s="2989"/>
      <c r="Z40" s="1618">
        <v>40</v>
      </c>
    </row>
    <row r="41" spans="3:26" s="144" customFormat="1" ht="11.25" customHeight="1">
      <c r="D41" s="260"/>
      <c r="E41" s="246" t="s">
        <v>956</v>
      </c>
      <c r="F41" s="247"/>
      <c r="H41" s="2917"/>
      <c r="I41" s="2991"/>
      <c r="J41" s="2991"/>
      <c r="K41" s="2992"/>
      <c r="L41" s="2991"/>
      <c r="M41" s="2991"/>
      <c r="N41" s="2993"/>
      <c r="O41" s="259" t="s">
        <v>1621</v>
      </c>
      <c r="P41" s="261"/>
      <c r="Q41" s="2994"/>
      <c r="R41" s="2995"/>
      <c r="S41" s="2996"/>
      <c r="Z41" s="1618">
        <v>41</v>
      </c>
    </row>
    <row r="42" spans="3:26" s="144" customFormat="1" ht="11.25" customHeight="1">
      <c r="D42" s="260"/>
      <c r="E42" s="246" t="s">
        <v>574</v>
      </c>
      <c r="H42" s="2917"/>
      <c r="I42" s="2992"/>
      <c r="J42" s="2997"/>
      <c r="K42" s="262" t="s">
        <v>2452</v>
      </c>
      <c r="L42" s="2917"/>
      <c r="M42" s="2991"/>
      <c r="N42" s="2997"/>
      <c r="O42" s="259" t="s">
        <v>1598</v>
      </c>
      <c r="P42" s="261"/>
      <c r="Q42" s="2909"/>
      <c r="R42" s="2910"/>
      <c r="S42" s="2911"/>
      <c r="Z42" s="1618">
        <v>42</v>
      </c>
    </row>
    <row r="43" spans="3:26" s="144" customFormat="1" ht="11.25" customHeight="1">
      <c r="D43" s="243"/>
      <c r="E43" s="246" t="s">
        <v>1666</v>
      </c>
      <c r="H43" s="981"/>
      <c r="I43" s="261"/>
      <c r="J43" s="261"/>
      <c r="K43" s="664" t="s">
        <v>2056</v>
      </c>
      <c r="L43" s="2998"/>
      <c r="M43" s="2999"/>
      <c r="N43" s="261"/>
      <c r="O43" s="259" t="s">
        <v>1833</v>
      </c>
      <c r="P43" s="261"/>
      <c r="Q43" s="2909"/>
      <c r="R43" s="2910"/>
      <c r="S43" s="2911"/>
      <c r="Z43" s="1618">
        <v>43</v>
      </c>
    </row>
    <row r="44" spans="3:26" s="144" customFormat="1" ht="11.25" customHeight="1">
      <c r="D44" s="260"/>
      <c r="E44" s="246" t="s">
        <v>3373</v>
      </c>
      <c r="H44" s="2984"/>
      <c r="I44" s="2990"/>
      <c r="J44" s="255"/>
      <c r="K44" s="262" t="s">
        <v>1837</v>
      </c>
      <c r="L44" s="2938"/>
      <c r="M44" s="2939"/>
      <c r="N44" s="2915"/>
      <c r="O44" s="2915"/>
      <c r="P44" s="2915"/>
      <c r="Q44" s="2939"/>
      <c r="R44" s="2939"/>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3372</v>
      </c>
      <c r="L46" s="261"/>
      <c r="M46" s="261"/>
      <c r="N46" s="261"/>
      <c r="O46" s="261"/>
      <c r="P46" s="261"/>
      <c r="Q46" s="261"/>
      <c r="R46" s="261"/>
      <c r="S46" s="261"/>
      <c r="Z46" s="1618">
        <v>46</v>
      </c>
    </row>
    <row r="47" spans="3:26" s="144" customFormat="1" ht="11.25" customHeight="1">
      <c r="E47" s="144" t="s">
        <v>88</v>
      </c>
      <c r="H47" s="2944"/>
      <c r="I47" s="2988"/>
      <c r="J47" s="2988"/>
      <c r="K47" s="2988"/>
      <c r="L47" s="2988"/>
      <c r="M47" s="2988"/>
      <c r="N47" s="2989"/>
      <c r="O47" s="259" t="s">
        <v>1842</v>
      </c>
      <c r="P47" s="259"/>
      <c r="Q47" s="2944"/>
      <c r="R47" s="2988"/>
      <c r="S47" s="2989"/>
      <c r="Z47" s="1618">
        <v>47</v>
      </c>
    </row>
    <row r="48" spans="3:26" s="144" customFormat="1" ht="11.25" customHeight="1">
      <c r="D48" s="260"/>
      <c r="E48" s="246" t="s">
        <v>956</v>
      </c>
      <c r="F48" s="247"/>
      <c r="H48" s="2917"/>
      <c r="I48" s="2991"/>
      <c r="J48" s="2991"/>
      <c r="K48" s="2992"/>
      <c r="L48" s="2991"/>
      <c r="M48" s="2991"/>
      <c r="N48" s="2993"/>
      <c r="O48" s="259" t="s">
        <v>1621</v>
      </c>
      <c r="P48" s="261"/>
      <c r="Q48" s="2994"/>
      <c r="R48" s="2995"/>
      <c r="S48" s="2996"/>
      <c r="Z48" s="1618">
        <v>48</v>
      </c>
    </row>
    <row r="49" spans="1:26" s="144" customFormat="1" ht="11.25" customHeight="1">
      <c r="D49" s="260"/>
      <c r="E49" s="246" t="s">
        <v>574</v>
      </c>
      <c r="H49" s="2917"/>
      <c r="I49" s="2992"/>
      <c r="J49" s="2997"/>
      <c r="K49" s="262" t="s">
        <v>2452</v>
      </c>
      <c r="L49" s="2917"/>
      <c r="M49" s="2991"/>
      <c r="N49" s="2997"/>
      <c r="O49" s="259" t="s">
        <v>1598</v>
      </c>
      <c r="P49" s="261"/>
      <c r="Q49" s="2909"/>
      <c r="R49" s="2910"/>
      <c r="S49" s="2911"/>
      <c r="Z49" s="1618">
        <v>49</v>
      </c>
    </row>
    <row r="50" spans="1:26" s="144" customFormat="1" ht="11.25" customHeight="1">
      <c r="E50" s="246" t="s">
        <v>1666</v>
      </c>
      <c r="H50" s="981"/>
      <c r="I50" s="261"/>
      <c r="J50" s="261"/>
      <c r="K50" s="664" t="s">
        <v>2056</v>
      </c>
      <c r="L50" s="2998"/>
      <c r="M50" s="2999"/>
      <c r="N50" s="261"/>
      <c r="O50" s="259" t="s">
        <v>1833</v>
      </c>
      <c r="P50" s="261"/>
      <c r="Q50" s="2909"/>
      <c r="R50" s="2910"/>
      <c r="S50" s="2911"/>
      <c r="Z50" s="1618">
        <v>50</v>
      </c>
    </row>
    <row r="51" spans="1:26" s="144" customFormat="1" ht="11.25" customHeight="1">
      <c r="D51" s="260"/>
      <c r="E51" s="246" t="s">
        <v>3373</v>
      </c>
      <c r="H51" s="2984"/>
      <c r="I51" s="2990"/>
      <c r="J51" s="255"/>
      <c r="K51" s="262" t="s">
        <v>1837</v>
      </c>
      <c r="L51" s="2938"/>
      <c r="M51" s="2939"/>
      <c r="N51" s="2915"/>
      <c r="O51" s="2915"/>
      <c r="P51" s="2915"/>
      <c r="Q51" s="2939"/>
      <c r="R51" s="2939"/>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3372</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4"/>
      <c r="I55" s="2988"/>
      <c r="J55" s="2988"/>
      <c r="K55" s="2988"/>
      <c r="L55" s="2988"/>
      <c r="M55" s="2988"/>
      <c r="N55" s="2989"/>
      <c r="O55" s="259" t="s">
        <v>1842</v>
      </c>
      <c r="P55" s="259"/>
      <c r="Q55" s="2944"/>
      <c r="R55" s="2988"/>
      <c r="S55" s="2989"/>
      <c r="Z55" s="1618">
        <v>55</v>
      </c>
    </row>
    <row r="56" spans="1:26" s="144" customFormat="1" ht="11.25" customHeight="1">
      <c r="D56" s="260"/>
      <c r="E56" s="246" t="s">
        <v>956</v>
      </c>
      <c r="F56" s="247"/>
      <c r="H56" s="2917"/>
      <c r="I56" s="2991"/>
      <c r="J56" s="2991"/>
      <c r="K56" s="2992"/>
      <c r="L56" s="2991"/>
      <c r="M56" s="2991"/>
      <c r="N56" s="2993"/>
      <c r="O56" s="259" t="s">
        <v>1621</v>
      </c>
      <c r="P56" s="261"/>
      <c r="Q56" s="2994"/>
      <c r="R56" s="2995"/>
      <c r="S56" s="2996"/>
      <c r="Z56" s="1618">
        <v>56</v>
      </c>
    </row>
    <row r="57" spans="1:26" s="144" customFormat="1" ht="11.25" customHeight="1">
      <c r="D57" s="260"/>
      <c r="E57" s="246" t="s">
        <v>574</v>
      </c>
      <c r="H57" s="2917"/>
      <c r="I57" s="2992"/>
      <c r="J57" s="2997"/>
      <c r="K57" s="262" t="s">
        <v>2452</v>
      </c>
      <c r="L57" s="2917"/>
      <c r="M57" s="2991"/>
      <c r="N57" s="2997"/>
      <c r="O57" s="259" t="s">
        <v>1598</v>
      </c>
      <c r="P57" s="261"/>
      <c r="Q57" s="2909"/>
      <c r="R57" s="2910"/>
      <c r="S57" s="2911"/>
      <c r="Z57" s="1618">
        <v>57</v>
      </c>
    </row>
    <row r="58" spans="1:26" s="144" customFormat="1" ht="11.25" customHeight="1">
      <c r="E58" s="246" t="s">
        <v>1666</v>
      </c>
      <c r="H58" s="981"/>
      <c r="I58" s="261"/>
      <c r="J58" s="261"/>
      <c r="K58" s="664" t="s">
        <v>2056</v>
      </c>
      <c r="L58" s="2998"/>
      <c r="M58" s="2999"/>
      <c r="N58" s="261"/>
      <c r="O58" s="259" t="s">
        <v>1833</v>
      </c>
      <c r="P58" s="261"/>
      <c r="Q58" s="2909"/>
      <c r="R58" s="2910"/>
      <c r="S58" s="2911"/>
      <c r="Z58" s="1618">
        <v>58</v>
      </c>
    </row>
    <row r="59" spans="1:26" s="144" customFormat="1" ht="11.25" customHeight="1">
      <c r="D59" s="260"/>
      <c r="E59" s="246" t="s">
        <v>3373</v>
      </c>
      <c r="H59" s="2984"/>
      <c r="I59" s="2990"/>
      <c r="J59" s="255"/>
      <c r="K59" s="262" t="s">
        <v>1837</v>
      </c>
      <c r="L59" s="2938"/>
      <c r="M59" s="2939"/>
      <c r="N59" s="2915"/>
      <c r="O59" s="2915"/>
      <c r="P59" s="2915"/>
      <c r="Q59" s="2939"/>
      <c r="R59" s="2939"/>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4"/>
      <c r="I61" s="2988"/>
      <c r="J61" s="2988"/>
      <c r="K61" s="2988"/>
      <c r="L61" s="2988"/>
      <c r="M61" s="2988"/>
      <c r="N61" s="2989"/>
      <c r="O61" s="259" t="s">
        <v>1842</v>
      </c>
      <c r="P61" s="259"/>
      <c r="Q61" s="2944"/>
      <c r="R61" s="2988"/>
      <c r="S61" s="2989"/>
      <c r="Z61" s="1618">
        <v>61</v>
      </c>
    </row>
    <row r="62" spans="1:26" s="144" customFormat="1" ht="11.25" customHeight="1">
      <c r="D62" s="260"/>
      <c r="E62" s="246" t="s">
        <v>956</v>
      </c>
      <c r="F62" s="247"/>
      <c r="H62" s="2917"/>
      <c r="I62" s="2991"/>
      <c r="J62" s="2991"/>
      <c r="K62" s="2992"/>
      <c r="L62" s="2991"/>
      <c r="M62" s="2991"/>
      <c r="N62" s="2993"/>
      <c r="O62" s="259" t="s">
        <v>1621</v>
      </c>
      <c r="P62" s="261"/>
      <c r="Q62" s="2994"/>
      <c r="R62" s="2995"/>
      <c r="S62" s="2996"/>
      <c r="Z62" s="1618">
        <v>62</v>
      </c>
    </row>
    <row r="63" spans="1:26" s="144" customFormat="1" ht="11.25" customHeight="1">
      <c r="D63" s="260"/>
      <c r="E63" s="246" t="s">
        <v>574</v>
      </c>
      <c r="H63" s="2917"/>
      <c r="I63" s="2992"/>
      <c r="J63" s="2997"/>
      <c r="K63" s="262" t="s">
        <v>2452</v>
      </c>
      <c r="L63" s="2917"/>
      <c r="M63" s="2991"/>
      <c r="N63" s="2997"/>
      <c r="O63" s="259" t="s">
        <v>1598</v>
      </c>
      <c r="P63" s="261"/>
      <c r="Q63" s="2909"/>
      <c r="R63" s="2910"/>
      <c r="S63" s="2911"/>
      <c r="Z63" s="1618">
        <v>63</v>
      </c>
    </row>
    <row r="64" spans="1:26" s="144" customFormat="1" ht="11.25" customHeight="1">
      <c r="E64" s="246" t="s">
        <v>1666</v>
      </c>
      <c r="H64" s="981"/>
      <c r="I64" s="261"/>
      <c r="J64" s="261"/>
      <c r="K64" s="664" t="s">
        <v>2056</v>
      </c>
      <c r="L64" s="2998"/>
      <c r="M64" s="2999"/>
      <c r="N64" s="261"/>
      <c r="O64" s="259" t="s">
        <v>1833</v>
      </c>
      <c r="P64" s="261"/>
      <c r="Q64" s="2909"/>
      <c r="R64" s="2910"/>
      <c r="S64" s="2911"/>
      <c r="Z64" s="1618">
        <v>64</v>
      </c>
    </row>
    <row r="65" spans="1:26" s="144" customFormat="1" ht="11.25" customHeight="1">
      <c r="D65" s="260"/>
      <c r="E65" s="246" t="s">
        <v>3373</v>
      </c>
      <c r="H65" s="2984"/>
      <c r="I65" s="2990"/>
      <c r="J65" s="255"/>
      <c r="K65" s="262" t="s">
        <v>1837</v>
      </c>
      <c r="L65" s="2938"/>
      <c r="M65" s="2939"/>
      <c r="N65" s="2915"/>
      <c r="O65" s="2915"/>
      <c r="P65" s="2915"/>
      <c r="Q65" s="2939"/>
      <c r="R65" s="2939"/>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4"/>
      <c r="I67" s="2988"/>
      <c r="J67" s="2988"/>
      <c r="K67" s="2988"/>
      <c r="L67" s="2988"/>
      <c r="M67" s="2988"/>
      <c r="N67" s="2989"/>
      <c r="O67" s="259" t="s">
        <v>1842</v>
      </c>
      <c r="P67" s="259"/>
      <c r="Q67" s="2944"/>
      <c r="R67" s="2988"/>
      <c r="S67" s="2989"/>
      <c r="Z67" s="1618">
        <v>67</v>
      </c>
    </row>
    <row r="68" spans="1:26" s="144" customFormat="1" ht="11.25" customHeight="1">
      <c r="D68" s="260"/>
      <c r="E68" s="246" t="s">
        <v>956</v>
      </c>
      <c r="F68" s="247"/>
      <c r="H68" s="2917"/>
      <c r="I68" s="2991"/>
      <c r="J68" s="2991"/>
      <c r="K68" s="2992"/>
      <c r="L68" s="2991"/>
      <c r="M68" s="2991"/>
      <c r="N68" s="2993"/>
      <c r="O68" s="259" t="s">
        <v>1621</v>
      </c>
      <c r="P68" s="261"/>
      <c r="Q68" s="2994"/>
      <c r="R68" s="2995"/>
      <c r="S68" s="2996"/>
      <c r="Z68" s="1618">
        <v>68</v>
      </c>
    </row>
    <row r="69" spans="1:26" s="144" customFormat="1" ht="11.25" customHeight="1">
      <c r="D69" s="260"/>
      <c r="E69" s="246" t="s">
        <v>574</v>
      </c>
      <c r="H69" s="2917"/>
      <c r="I69" s="2992"/>
      <c r="J69" s="2997"/>
      <c r="K69" s="262" t="s">
        <v>2452</v>
      </c>
      <c r="L69" s="2917"/>
      <c r="M69" s="2991"/>
      <c r="N69" s="2997"/>
      <c r="O69" s="259" t="s">
        <v>1598</v>
      </c>
      <c r="P69" s="261"/>
      <c r="Q69" s="2909"/>
      <c r="R69" s="2910"/>
      <c r="S69" s="2911"/>
      <c r="Z69" s="1618">
        <v>69</v>
      </c>
    </row>
    <row r="70" spans="1:26" s="144" customFormat="1" ht="11.25" customHeight="1">
      <c r="E70" s="246" t="s">
        <v>1666</v>
      </c>
      <c r="H70" s="981"/>
      <c r="I70" s="261"/>
      <c r="J70" s="261"/>
      <c r="K70" s="664" t="s">
        <v>2056</v>
      </c>
      <c r="L70" s="2998"/>
      <c r="M70" s="2999"/>
      <c r="N70" s="261"/>
      <c r="O70" s="259" t="s">
        <v>1833</v>
      </c>
      <c r="P70" s="261"/>
      <c r="Q70" s="2909"/>
      <c r="R70" s="2910"/>
      <c r="S70" s="2911"/>
      <c r="Z70" s="1618">
        <v>70</v>
      </c>
    </row>
    <row r="71" spans="1:26" s="144" customFormat="1" ht="11.25" customHeight="1">
      <c r="D71" s="260"/>
      <c r="E71" s="246" t="s">
        <v>3373</v>
      </c>
      <c r="H71" s="2984"/>
      <c r="I71" s="2990"/>
      <c r="J71" s="255"/>
      <c r="K71" s="262" t="s">
        <v>1837</v>
      </c>
      <c r="L71" s="2938"/>
      <c r="M71" s="2939"/>
      <c r="N71" s="2915"/>
      <c r="O71" s="2915"/>
      <c r="P71" s="2915"/>
      <c r="Q71" s="2939"/>
      <c r="R71" s="2939"/>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4"/>
      <c r="I73" s="2988"/>
      <c r="J73" s="2988"/>
      <c r="K73" s="2988"/>
      <c r="L73" s="2988"/>
      <c r="M73" s="2988"/>
      <c r="N73" s="2989"/>
      <c r="O73" s="259" t="s">
        <v>1842</v>
      </c>
      <c r="P73" s="259"/>
      <c r="Q73" s="2944"/>
      <c r="R73" s="2988"/>
      <c r="S73" s="2989"/>
      <c r="Z73" s="1618">
        <v>73</v>
      </c>
    </row>
    <row r="74" spans="1:26" s="144" customFormat="1" ht="11.25" customHeight="1">
      <c r="D74" s="260"/>
      <c r="E74" s="246" t="s">
        <v>956</v>
      </c>
      <c r="F74" s="247"/>
      <c r="H74" s="2917"/>
      <c r="I74" s="2991"/>
      <c r="J74" s="2991"/>
      <c r="K74" s="2992"/>
      <c r="L74" s="2991"/>
      <c r="M74" s="2991"/>
      <c r="N74" s="2993"/>
      <c r="O74" s="259" t="s">
        <v>1621</v>
      </c>
      <c r="P74" s="261"/>
      <c r="Q74" s="2994"/>
      <c r="R74" s="2995"/>
      <c r="S74" s="2996"/>
      <c r="Z74" s="1618">
        <v>74</v>
      </c>
    </row>
    <row r="75" spans="1:26" s="144" customFormat="1" ht="11.25" customHeight="1">
      <c r="D75" s="260"/>
      <c r="E75" s="246" t="s">
        <v>574</v>
      </c>
      <c r="H75" s="2917"/>
      <c r="I75" s="2992"/>
      <c r="J75" s="2997"/>
      <c r="K75" s="262" t="s">
        <v>2452</v>
      </c>
      <c r="L75" s="2917"/>
      <c r="M75" s="2991"/>
      <c r="N75" s="2997"/>
      <c r="O75" s="259" t="s">
        <v>1598</v>
      </c>
      <c r="P75" s="261"/>
      <c r="Q75" s="2909"/>
      <c r="R75" s="2910"/>
      <c r="S75" s="2911"/>
      <c r="Z75" s="1618">
        <v>75</v>
      </c>
    </row>
    <row r="76" spans="1:26" s="144" customFormat="1" ht="11.25" customHeight="1">
      <c r="E76" s="246" t="s">
        <v>1666</v>
      </c>
      <c r="H76" s="981"/>
      <c r="I76" s="261"/>
      <c r="J76" s="261"/>
      <c r="K76" s="664" t="s">
        <v>2056</v>
      </c>
      <c r="L76" s="2998"/>
      <c r="M76" s="2999"/>
      <c r="N76" s="261"/>
      <c r="O76" s="259" t="s">
        <v>1833</v>
      </c>
      <c r="P76" s="261"/>
      <c r="Q76" s="2909"/>
      <c r="R76" s="2910"/>
      <c r="S76" s="2911"/>
      <c r="Z76" s="1618">
        <v>76</v>
      </c>
    </row>
    <row r="77" spans="1:26" s="144" customFormat="1" ht="11.25" customHeight="1">
      <c r="D77" s="260"/>
      <c r="E77" s="246" t="s">
        <v>3373</v>
      </c>
      <c r="H77" s="2984"/>
      <c r="I77" s="2990"/>
      <c r="J77" s="255"/>
      <c r="K77" s="262" t="s">
        <v>1837</v>
      </c>
      <c r="L77" s="2938"/>
      <c r="M77" s="2939"/>
      <c r="N77" s="2915"/>
      <c r="O77" s="2915"/>
      <c r="P77" s="2915"/>
      <c r="Q77" s="2939"/>
      <c r="R77" s="2939"/>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3372</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4"/>
      <c r="I81" s="2988"/>
      <c r="J81" s="2988"/>
      <c r="K81" s="2988"/>
      <c r="L81" s="2988"/>
      <c r="M81" s="2988"/>
      <c r="N81" s="2989"/>
      <c r="O81" s="259" t="s">
        <v>1842</v>
      </c>
      <c r="P81" s="259"/>
      <c r="Q81" s="2944"/>
      <c r="R81" s="2988"/>
      <c r="S81" s="2989"/>
      <c r="Z81" s="1618">
        <v>81</v>
      </c>
    </row>
    <row r="82" spans="2:26" s="144" customFormat="1" ht="11.25" customHeight="1">
      <c r="D82" s="260"/>
      <c r="E82" s="246" t="s">
        <v>956</v>
      </c>
      <c r="F82" s="247"/>
      <c r="H82" s="2917"/>
      <c r="I82" s="2991"/>
      <c r="J82" s="2991"/>
      <c r="K82" s="2992"/>
      <c r="L82" s="2991"/>
      <c r="M82" s="2991"/>
      <c r="N82" s="2993"/>
      <c r="O82" s="259" t="s">
        <v>1621</v>
      </c>
      <c r="P82" s="261"/>
      <c r="Q82" s="2994"/>
      <c r="R82" s="2995"/>
      <c r="S82" s="2996"/>
      <c r="Z82" s="1618">
        <v>82</v>
      </c>
    </row>
    <row r="83" spans="2:26" s="144" customFormat="1" ht="11.25" customHeight="1">
      <c r="D83" s="260"/>
      <c r="E83" s="246" t="s">
        <v>574</v>
      </c>
      <c r="H83" s="2917"/>
      <c r="I83" s="2992"/>
      <c r="J83" s="2997"/>
      <c r="K83" s="262" t="s">
        <v>2452</v>
      </c>
      <c r="L83" s="2917"/>
      <c r="M83" s="2991"/>
      <c r="N83" s="2997"/>
      <c r="O83" s="259" t="s">
        <v>1598</v>
      </c>
      <c r="P83" s="261"/>
      <c r="Q83" s="2909"/>
      <c r="R83" s="2910"/>
      <c r="S83" s="2911"/>
      <c r="Z83" s="1618">
        <v>83</v>
      </c>
    </row>
    <row r="84" spans="2:26" s="144" customFormat="1" ht="11.25" customHeight="1">
      <c r="E84" s="246" t="s">
        <v>1666</v>
      </c>
      <c r="H84" s="981"/>
      <c r="I84" s="261"/>
      <c r="J84" s="261"/>
      <c r="K84" s="664" t="s">
        <v>2056</v>
      </c>
      <c r="L84" s="2998"/>
      <c r="M84" s="2999"/>
      <c r="N84" s="261"/>
      <c r="O84" s="259" t="s">
        <v>1833</v>
      </c>
      <c r="P84" s="261"/>
      <c r="Q84" s="2909"/>
      <c r="R84" s="2910"/>
      <c r="S84" s="2911"/>
      <c r="Z84" s="1618">
        <v>84</v>
      </c>
    </row>
    <row r="85" spans="2:26" s="144" customFormat="1" ht="11.25" customHeight="1">
      <c r="D85" s="260"/>
      <c r="E85" s="246" t="s">
        <v>3373</v>
      </c>
      <c r="H85" s="2984"/>
      <c r="I85" s="2990"/>
      <c r="J85" s="255"/>
      <c r="K85" s="262" t="s">
        <v>1837</v>
      </c>
      <c r="L85" s="2938"/>
      <c r="M85" s="2939"/>
      <c r="N85" s="2915"/>
      <c r="O85" s="2915"/>
      <c r="P85" s="2915"/>
      <c r="Q85" s="2939"/>
      <c r="R85" s="2939"/>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4"/>
      <c r="I87" s="2988"/>
      <c r="J87" s="2988"/>
      <c r="K87" s="2988"/>
      <c r="L87" s="2988"/>
      <c r="M87" s="2988"/>
      <c r="N87" s="2989"/>
      <c r="O87" s="259" t="s">
        <v>1842</v>
      </c>
      <c r="P87" s="259"/>
      <c r="Q87" s="2944"/>
      <c r="R87" s="2988"/>
      <c r="S87" s="2989"/>
      <c r="Z87" s="1618">
        <v>87</v>
      </c>
    </row>
    <row r="88" spans="2:26" s="144" customFormat="1" ht="11.25" customHeight="1">
      <c r="D88" s="260"/>
      <c r="E88" s="246" t="s">
        <v>956</v>
      </c>
      <c r="F88" s="247"/>
      <c r="H88" s="2917"/>
      <c r="I88" s="2991"/>
      <c r="J88" s="2991"/>
      <c r="K88" s="2992"/>
      <c r="L88" s="2991"/>
      <c r="M88" s="2991"/>
      <c r="N88" s="2993"/>
      <c r="O88" s="259" t="s">
        <v>1621</v>
      </c>
      <c r="P88" s="261"/>
      <c r="Q88" s="2994"/>
      <c r="R88" s="2995"/>
      <c r="S88" s="2996"/>
      <c r="Z88" s="1618">
        <v>88</v>
      </c>
    </row>
    <row r="89" spans="2:26" s="144" customFormat="1" ht="11.25" customHeight="1">
      <c r="D89" s="260"/>
      <c r="E89" s="246" t="s">
        <v>574</v>
      </c>
      <c r="H89" s="2917"/>
      <c r="I89" s="2992"/>
      <c r="J89" s="2997"/>
      <c r="K89" s="262" t="s">
        <v>2452</v>
      </c>
      <c r="L89" s="2917"/>
      <c r="M89" s="2991"/>
      <c r="N89" s="2997"/>
      <c r="O89" s="259" t="s">
        <v>1598</v>
      </c>
      <c r="P89" s="261"/>
      <c r="Q89" s="2909"/>
      <c r="R89" s="2910"/>
      <c r="S89" s="2911"/>
      <c r="Z89" s="1618">
        <v>89</v>
      </c>
    </row>
    <row r="90" spans="2:26" s="144" customFormat="1" ht="11.25" customHeight="1">
      <c r="E90" s="246" t="s">
        <v>1666</v>
      </c>
      <c r="H90" s="981"/>
      <c r="I90" s="261"/>
      <c r="J90" s="261"/>
      <c r="K90" s="664" t="s">
        <v>2056</v>
      </c>
      <c r="L90" s="2998"/>
      <c r="M90" s="2999"/>
      <c r="N90" s="261"/>
      <c r="O90" s="259" t="s">
        <v>1833</v>
      </c>
      <c r="P90" s="261"/>
      <c r="Q90" s="2909"/>
      <c r="R90" s="2910"/>
      <c r="S90" s="2911"/>
      <c r="Z90" s="1618">
        <v>90</v>
      </c>
    </row>
    <row r="91" spans="2:26" s="144" customFormat="1" ht="11.25" customHeight="1">
      <c r="D91" s="260"/>
      <c r="E91" s="246" t="s">
        <v>3373</v>
      </c>
      <c r="H91" s="2984"/>
      <c r="I91" s="2990"/>
      <c r="J91" s="255"/>
      <c r="K91" s="262" t="s">
        <v>1837</v>
      </c>
      <c r="L91" s="2938"/>
      <c r="M91" s="2939"/>
      <c r="N91" s="2915"/>
      <c r="O91" s="2915"/>
      <c r="P91" s="2915"/>
      <c r="Q91" s="2939"/>
      <c r="R91" s="2939"/>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4"/>
      <c r="I93" s="2988"/>
      <c r="J93" s="2988"/>
      <c r="K93" s="2988"/>
      <c r="L93" s="2988"/>
      <c r="M93" s="2988"/>
      <c r="N93" s="2989"/>
      <c r="O93" s="259" t="s">
        <v>1842</v>
      </c>
      <c r="P93" s="259"/>
      <c r="Q93" s="2944"/>
      <c r="R93" s="2988"/>
      <c r="S93" s="2989"/>
      <c r="Z93" s="1618">
        <v>93</v>
      </c>
    </row>
    <row r="94" spans="2:26" s="144" customFormat="1" ht="11.25" customHeight="1">
      <c r="D94" s="260"/>
      <c r="E94" s="246" t="s">
        <v>956</v>
      </c>
      <c r="F94" s="247"/>
      <c r="H94" s="2917"/>
      <c r="I94" s="2991"/>
      <c r="J94" s="2991"/>
      <c r="K94" s="2992"/>
      <c r="L94" s="2991"/>
      <c r="M94" s="2991"/>
      <c r="N94" s="2993"/>
      <c r="O94" s="259" t="s">
        <v>1621</v>
      </c>
      <c r="P94" s="261"/>
      <c r="Q94" s="2994"/>
      <c r="R94" s="2995"/>
      <c r="S94" s="2996"/>
      <c r="Z94" s="1618">
        <v>94</v>
      </c>
    </row>
    <row r="95" spans="2:26" s="144" customFormat="1" ht="11.25" customHeight="1">
      <c r="D95" s="260"/>
      <c r="E95" s="246" t="s">
        <v>574</v>
      </c>
      <c r="H95" s="2917"/>
      <c r="I95" s="2992"/>
      <c r="J95" s="2997"/>
      <c r="K95" s="262" t="s">
        <v>2452</v>
      </c>
      <c r="L95" s="2917"/>
      <c r="M95" s="2991"/>
      <c r="N95" s="2997"/>
      <c r="O95" s="259" t="s">
        <v>1598</v>
      </c>
      <c r="P95" s="261"/>
      <c r="Q95" s="2909"/>
      <c r="R95" s="2910"/>
      <c r="S95" s="2911"/>
      <c r="Z95" s="1618">
        <v>95</v>
      </c>
    </row>
    <row r="96" spans="2:26" s="144" customFormat="1" ht="11.25" customHeight="1">
      <c r="D96" s="260"/>
      <c r="E96" s="246" t="s">
        <v>1666</v>
      </c>
      <c r="H96" s="981"/>
      <c r="I96" s="261"/>
      <c r="J96" s="261"/>
      <c r="K96" s="664" t="s">
        <v>2056</v>
      </c>
      <c r="L96" s="2998"/>
      <c r="M96" s="2999"/>
      <c r="N96" s="261"/>
      <c r="O96" s="259" t="s">
        <v>1833</v>
      </c>
      <c r="P96" s="261"/>
      <c r="Q96" s="2909"/>
      <c r="R96" s="2910"/>
      <c r="S96" s="2911"/>
      <c r="Z96" s="1618">
        <v>96</v>
      </c>
    </row>
    <row r="97" spans="2:26" s="144" customFormat="1" ht="11.25" customHeight="1">
      <c r="D97" s="260"/>
      <c r="E97" s="246" t="s">
        <v>3373</v>
      </c>
      <c r="H97" s="2984"/>
      <c r="I97" s="2990"/>
      <c r="J97" s="255"/>
      <c r="K97" s="262" t="s">
        <v>1837</v>
      </c>
      <c r="L97" s="2938"/>
      <c r="M97" s="2939"/>
      <c r="N97" s="2915"/>
      <c r="O97" s="2915"/>
      <c r="P97" s="2915"/>
      <c r="Q97" s="2939"/>
      <c r="R97" s="2939"/>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4"/>
      <c r="I99" s="2988"/>
      <c r="J99" s="2988"/>
      <c r="K99" s="2988"/>
      <c r="L99" s="2988"/>
      <c r="M99" s="2988"/>
      <c r="N99" s="2989"/>
      <c r="O99" s="259" t="s">
        <v>1842</v>
      </c>
      <c r="P99" s="259"/>
      <c r="Q99" s="2944"/>
      <c r="R99" s="2988"/>
      <c r="S99" s="2989"/>
      <c r="Z99" s="1618">
        <v>99</v>
      </c>
    </row>
    <row r="100" spans="2:26" s="144" customFormat="1" ht="11.25" customHeight="1">
      <c r="D100" s="260"/>
      <c r="E100" s="246" t="s">
        <v>956</v>
      </c>
      <c r="F100" s="247"/>
      <c r="H100" s="2917"/>
      <c r="I100" s="2991"/>
      <c r="J100" s="2991"/>
      <c r="K100" s="2992"/>
      <c r="L100" s="2991"/>
      <c r="M100" s="2991"/>
      <c r="N100" s="2993"/>
      <c r="O100" s="259" t="s">
        <v>1621</v>
      </c>
      <c r="P100" s="261"/>
      <c r="Q100" s="2994"/>
      <c r="R100" s="2995"/>
      <c r="S100" s="2996"/>
      <c r="Z100" s="1618">
        <v>100</v>
      </c>
    </row>
    <row r="101" spans="2:26" s="144" customFormat="1" ht="11.25" customHeight="1">
      <c r="D101" s="260"/>
      <c r="E101" s="246" t="s">
        <v>574</v>
      </c>
      <c r="H101" s="2917"/>
      <c r="I101" s="2992"/>
      <c r="J101" s="2997"/>
      <c r="K101" s="262" t="s">
        <v>2452</v>
      </c>
      <c r="L101" s="2917"/>
      <c r="M101" s="2991"/>
      <c r="N101" s="2997"/>
      <c r="O101" s="259" t="s">
        <v>1598</v>
      </c>
      <c r="P101" s="261"/>
      <c r="Q101" s="2909"/>
      <c r="R101" s="2910"/>
      <c r="S101" s="2911"/>
      <c r="Z101" s="1618">
        <v>101</v>
      </c>
    </row>
    <row r="102" spans="2:26" s="144" customFormat="1" ht="11.25" customHeight="1">
      <c r="D102" s="260"/>
      <c r="E102" s="246" t="s">
        <v>1666</v>
      </c>
      <c r="H102" s="981"/>
      <c r="I102" s="261"/>
      <c r="J102" s="261"/>
      <c r="K102" s="664" t="s">
        <v>2056</v>
      </c>
      <c r="L102" s="2998"/>
      <c r="M102" s="2999"/>
      <c r="N102" s="261"/>
      <c r="O102" s="259" t="s">
        <v>1833</v>
      </c>
      <c r="P102" s="261"/>
      <c r="Q102" s="2909"/>
      <c r="R102" s="2910"/>
      <c r="S102" s="2911"/>
      <c r="Z102" s="1618">
        <v>102</v>
      </c>
    </row>
    <row r="103" spans="2:26" ht="11.25" customHeight="1">
      <c r="E103" s="246" t="s">
        <v>3373</v>
      </c>
      <c r="F103" s="144"/>
      <c r="G103" s="144"/>
      <c r="H103" s="2984"/>
      <c r="I103" s="2990"/>
      <c r="J103" s="255"/>
      <c r="K103" s="262" t="s">
        <v>1837</v>
      </c>
      <c r="L103" s="2938"/>
      <c r="M103" s="2939"/>
      <c r="N103" s="2915"/>
      <c r="O103" s="2915"/>
      <c r="P103" s="2915"/>
      <c r="Q103" s="2939"/>
      <c r="R103" s="2939"/>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4"/>
      <c r="I105" s="2988"/>
      <c r="J105" s="2988"/>
      <c r="K105" s="2988"/>
      <c r="L105" s="2988"/>
      <c r="M105" s="2988"/>
      <c r="N105" s="2989"/>
      <c r="O105" s="259" t="s">
        <v>1842</v>
      </c>
      <c r="P105" s="259"/>
      <c r="Q105" s="2944"/>
      <c r="R105" s="2988"/>
      <c r="S105" s="2989"/>
      <c r="Z105" s="1618">
        <v>105</v>
      </c>
    </row>
    <row r="106" spans="2:26" s="144" customFormat="1" ht="11.25" customHeight="1">
      <c r="D106" s="260"/>
      <c r="E106" s="246" t="s">
        <v>956</v>
      </c>
      <c r="F106" s="247"/>
      <c r="H106" s="2917"/>
      <c r="I106" s="2991"/>
      <c r="J106" s="2991"/>
      <c r="K106" s="2992"/>
      <c r="L106" s="2991"/>
      <c r="M106" s="2991"/>
      <c r="N106" s="2993"/>
      <c r="O106" s="259" t="s">
        <v>1621</v>
      </c>
      <c r="P106" s="261"/>
      <c r="Q106" s="2994"/>
      <c r="R106" s="2995"/>
      <c r="S106" s="2996"/>
      <c r="Z106" s="1618">
        <v>106</v>
      </c>
    </row>
    <row r="107" spans="2:26" s="144" customFormat="1" ht="11.25" customHeight="1">
      <c r="D107" s="260"/>
      <c r="E107" s="246" t="s">
        <v>574</v>
      </c>
      <c r="H107" s="2917"/>
      <c r="I107" s="2992"/>
      <c r="J107" s="2997"/>
      <c r="K107" s="262" t="s">
        <v>2452</v>
      </c>
      <c r="L107" s="2917"/>
      <c r="M107" s="2991"/>
      <c r="N107" s="2997"/>
      <c r="O107" s="259" t="s">
        <v>1598</v>
      </c>
      <c r="P107" s="261"/>
      <c r="Q107" s="2909"/>
      <c r="R107" s="2910"/>
      <c r="S107" s="2911"/>
      <c r="Z107" s="1618">
        <v>107</v>
      </c>
    </row>
    <row r="108" spans="2:26" s="144" customFormat="1" ht="11.25" customHeight="1">
      <c r="D108" s="260"/>
      <c r="E108" s="246" t="s">
        <v>1666</v>
      </c>
      <c r="H108" s="981"/>
      <c r="I108" s="261"/>
      <c r="J108" s="261"/>
      <c r="K108" s="664" t="s">
        <v>2056</v>
      </c>
      <c r="L108" s="2998"/>
      <c r="M108" s="2999"/>
      <c r="N108" s="261"/>
      <c r="O108" s="259" t="s">
        <v>1833</v>
      </c>
      <c r="P108" s="261"/>
      <c r="Q108" s="2909"/>
      <c r="R108" s="2910"/>
      <c r="S108" s="2911"/>
      <c r="Z108" s="1618">
        <v>108</v>
      </c>
    </row>
    <row r="109" spans="2:26" ht="11.25" customHeight="1">
      <c r="E109" s="246" t="s">
        <v>3373</v>
      </c>
      <c r="F109" s="144"/>
      <c r="G109" s="144"/>
      <c r="H109" s="2984"/>
      <c r="I109" s="2990"/>
      <c r="J109" s="255"/>
      <c r="K109" s="262" t="s">
        <v>1837</v>
      </c>
      <c r="L109" s="2938"/>
      <c r="M109" s="2939"/>
      <c r="N109" s="2915"/>
      <c r="O109" s="2915"/>
      <c r="P109" s="2915"/>
      <c r="Q109" s="2939"/>
      <c r="R109" s="2939"/>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4"/>
      <c r="I111" s="2988"/>
      <c r="J111" s="2988"/>
      <c r="K111" s="2988"/>
      <c r="L111" s="2988"/>
      <c r="M111" s="2988"/>
      <c r="N111" s="2989"/>
      <c r="O111" s="259" t="s">
        <v>1842</v>
      </c>
      <c r="P111" s="259"/>
      <c r="Q111" s="2944"/>
      <c r="R111" s="2988"/>
      <c r="S111" s="2989"/>
      <c r="Z111" s="1618">
        <v>111</v>
      </c>
    </row>
    <row r="112" spans="2:26" s="144" customFormat="1" ht="11.25" customHeight="1">
      <c r="D112" s="260"/>
      <c r="E112" s="246" t="s">
        <v>956</v>
      </c>
      <c r="F112" s="247"/>
      <c r="H112" s="2917"/>
      <c r="I112" s="2991"/>
      <c r="J112" s="2991"/>
      <c r="K112" s="2992"/>
      <c r="L112" s="2991"/>
      <c r="M112" s="2991"/>
      <c r="N112" s="2993"/>
      <c r="O112" s="259" t="s">
        <v>1621</v>
      </c>
      <c r="P112" s="261"/>
      <c r="Q112" s="2994"/>
      <c r="R112" s="2995"/>
      <c r="S112" s="2996"/>
      <c r="Z112" s="1618">
        <v>112</v>
      </c>
    </row>
    <row r="113" spans="1:26" s="144" customFormat="1" ht="11.25" customHeight="1">
      <c r="D113" s="260"/>
      <c r="E113" s="246" t="s">
        <v>574</v>
      </c>
      <c r="H113" s="2917"/>
      <c r="I113" s="2992"/>
      <c r="J113" s="2997"/>
      <c r="K113" s="262" t="s">
        <v>2452</v>
      </c>
      <c r="L113" s="2917"/>
      <c r="M113" s="2991"/>
      <c r="N113" s="2997"/>
      <c r="O113" s="259" t="s">
        <v>1598</v>
      </c>
      <c r="P113" s="261"/>
      <c r="Q113" s="2909"/>
      <c r="R113" s="2910"/>
      <c r="S113" s="2911"/>
      <c r="Z113" s="1618">
        <v>113</v>
      </c>
    </row>
    <row r="114" spans="1:26" s="144" customFormat="1" ht="11.25" customHeight="1">
      <c r="D114" s="260"/>
      <c r="E114" s="246" t="s">
        <v>1666</v>
      </c>
      <c r="H114" s="981"/>
      <c r="I114" s="261"/>
      <c r="J114" s="261"/>
      <c r="K114" s="664" t="s">
        <v>2056</v>
      </c>
      <c r="L114" s="2998"/>
      <c r="M114" s="2999"/>
      <c r="N114" s="261"/>
      <c r="O114" s="259" t="s">
        <v>1833</v>
      </c>
      <c r="P114" s="261"/>
      <c r="Q114" s="2909"/>
      <c r="R114" s="2910"/>
      <c r="S114" s="2911"/>
      <c r="Z114" s="1618">
        <v>114</v>
      </c>
    </row>
    <row r="115" spans="1:26" s="144" customFormat="1" ht="11.25" customHeight="1">
      <c r="D115" s="260"/>
      <c r="E115" s="246" t="s">
        <v>3373</v>
      </c>
      <c r="H115" s="2984"/>
      <c r="I115" s="2990"/>
      <c r="J115" s="255"/>
      <c r="K115" s="262" t="s">
        <v>1837</v>
      </c>
      <c r="L115" s="2938"/>
      <c r="M115" s="2939"/>
      <c r="N115" s="2915"/>
      <c r="O115" s="2915"/>
      <c r="P115" s="2915"/>
      <c r="Q115" s="2939"/>
      <c r="R115" s="2939"/>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4365</v>
      </c>
      <c r="H120" s="2944"/>
      <c r="I120" s="2945"/>
      <c r="J120" s="2946"/>
      <c r="K120" s="262" t="s">
        <v>1665</v>
      </c>
      <c r="L120" s="2944"/>
      <c r="M120" s="2988"/>
      <c r="N120" s="2989"/>
      <c r="O120" s="259" t="s">
        <v>3057</v>
      </c>
      <c r="P120" s="261"/>
      <c r="Q120" s="3007"/>
      <c r="R120" s="3008"/>
      <c r="S120" s="3009"/>
      <c r="Z120" s="1618">
        <v>120</v>
      </c>
    </row>
    <row r="121" spans="1:26" s="144" customFormat="1" ht="11.25" customHeight="1">
      <c r="C121" s="243"/>
      <c r="D121" s="260"/>
      <c r="E121" s="246" t="s">
        <v>4119</v>
      </c>
      <c r="F121" s="247"/>
      <c r="H121" s="3010"/>
      <c r="I121" s="3011"/>
      <c r="J121" s="3012"/>
      <c r="K121" s="3013"/>
      <c r="L121" s="3011"/>
      <c r="M121" s="3011"/>
      <c r="N121" s="3014"/>
      <c r="O121" s="259" t="s">
        <v>574</v>
      </c>
      <c r="P121" s="261"/>
      <c r="Q121" s="3015"/>
      <c r="R121" s="3016"/>
      <c r="S121" s="3017"/>
      <c r="Z121" s="1618">
        <v>121</v>
      </c>
    </row>
    <row r="122" spans="1:26" s="144" customFormat="1" ht="11.25" customHeight="1">
      <c r="C122" s="243"/>
      <c r="D122" s="260"/>
      <c r="E122" s="246" t="s">
        <v>1666</v>
      </c>
      <c r="H122" s="1198"/>
      <c r="I122" s="664" t="s">
        <v>2056</v>
      </c>
      <c r="J122" s="3018"/>
      <c r="K122" s="2997"/>
      <c r="L122" s="262" t="s">
        <v>1837</v>
      </c>
      <c r="M122" s="2986"/>
      <c r="N122" s="2915"/>
      <c r="O122" s="2915"/>
      <c r="P122" s="2915"/>
      <c r="Q122" s="2939"/>
      <c r="R122" s="2939"/>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4366</v>
      </c>
      <c r="H124" s="2944"/>
      <c r="I124" s="2945"/>
      <c r="J124" s="2946"/>
      <c r="K124" s="262" t="s">
        <v>1665</v>
      </c>
      <c r="L124" s="2944"/>
      <c r="M124" s="2988"/>
      <c r="N124" s="2989"/>
      <c r="O124" s="259" t="s">
        <v>3057</v>
      </c>
      <c r="P124" s="261"/>
      <c r="Q124" s="3007"/>
      <c r="R124" s="3008"/>
      <c r="S124" s="3009"/>
      <c r="Z124" s="1618">
        <v>124</v>
      </c>
    </row>
    <row r="125" spans="1:26" s="144" customFormat="1" ht="11.25" hidden="1" customHeight="1">
      <c r="C125" s="243"/>
      <c r="D125" s="260"/>
      <c r="E125" s="246" t="s">
        <v>4119</v>
      </c>
      <c r="F125" s="247"/>
      <c r="H125" s="3010"/>
      <c r="I125" s="3011"/>
      <c r="J125" s="3012"/>
      <c r="K125" s="3013"/>
      <c r="L125" s="3011"/>
      <c r="M125" s="3011"/>
      <c r="N125" s="3014"/>
      <c r="O125" s="259" t="s">
        <v>574</v>
      </c>
      <c r="P125" s="261"/>
      <c r="Q125" s="3015"/>
      <c r="R125" s="3016"/>
      <c r="S125" s="3017"/>
      <c r="Z125" s="1618">
        <v>125</v>
      </c>
    </row>
    <row r="126" spans="1:26" s="144" customFormat="1" ht="11.25" hidden="1" customHeight="1">
      <c r="C126" s="243"/>
      <c r="D126" s="260"/>
      <c r="E126" s="246" t="s">
        <v>1666</v>
      </c>
      <c r="H126" s="1198"/>
      <c r="I126" s="664" t="s">
        <v>2056</v>
      </c>
      <c r="J126" s="3018"/>
      <c r="K126" s="2997"/>
      <c r="L126" s="262" t="s">
        <v>1837</v>
      </c>
      <c r="M126" s="2986"/>
      <c r="N126" s="2915"/>
      <c r="O126" s="2915"/>
      <c r="P126" s="2915"/>
      <c r="Q126" s="2939"/>
      <c r="R126" s="2939"/>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4199</v>
      </c>
      <c r="H128" s="2944"/>
      <c r="I128" s="2945"/>
      <c r="J128" s="2946"/>
      <c r="K128" s="262" t="s">
        <v>1665</v>
      </c>
      <c r="L128" s="2944"/>
      <c r="M128" s="2988"/>
      <c r="N128" s="2989"/>
      <c r="O128" s="259" t="s">
        <v>3057</v>
      </c>
      <c r="P128" s="261"/>
      <c r="Q128" s="3007"/>
      <c r="R128" s="3008"/>
      <c r="S128" s="3009"/>
      <c r="Z128" s="1618">
        <v>128</v>
      </c>
    </row>
    <row r="129" spans="3:26" s="144" customFormat="1" ht="11.25" hidden="1" customHeight="1">
      <c r="C129" s="243"/>
      <c r="D129" s="260"/>
      <c r="E129" s="246" t="s">
        <v>4119</v>
      </c>
      <c r="F129" s="247"/>
      <c r="H129" s="3010"/>
      <c r="I129" s="3011"/>
      <c r="J129" s="3012"/>
      <c r="K129" s="3013"/>
      <c r="L129" s="3011"/>
      <c r="M129" s="3011"/>
      <c r="N129" s="3014"/>
      <c r="O129" s="259" t="s">
        <v>574</v>
      </c>
      <c r="P129" s="261"/>
      <c r="Q129" s="3015"/>
      <c r="R129" s="3016"/>
      <c r="S129" s="3017"/>
      <c r="Z129" s="1618">
        <v>129</v>
      </c>
    </row>
    <row r="130" spans="3:26" s="144" customFormat="1" ht="11.25" hidden="1" customHeight="1">
      <c r="C130" s="243"/>
      <c r="D130" s="260"/>
      <c r="E130" s="246" t="s">
        <v>1666</v>
      </c>
      <c r="H130" s="1198"/>
      <c r="I130" s="664" t="s">
        <v>2056</v>
      </c>
      <c r="J130" s="3018"/>
      <c r="K130" s="2997"/>
      <c r="L130" s="262" t="s">
        <v>1837</v>
      </c>
      <c r="M130" s="2986"/>
      <c r="N130" s="2915"/>
      <c r="O130" s="2915"/>
      <c r="P130" s="2915"/>
      <c r="Q130" s="2939"/>
      <c r="R130" s="2939"/>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4367</v>
      </c>
      <c r="H132" s="2944"/>
      <c r="I132" s="2945"/>
      <c r="J132" s="2946"/>
      <c r="K132" s="262" t="s">
        <v>1665</v>
      </c>
      <c r="L132" s="2944"/>
      <c r="M132" s="2988"/>
      <c r="N132" s="2989"/>
      <c r="O132" s="259" t="s">
        <v>3057</v>
      </c>
      <c r="P132" s="261"/>
      <c r="Q132" s="3007"/>
      <c r="R132" s="3008"/>
      <c r="S132" s="3009"/>
      <c r="Z132" s="1618">
        <v>132</v>
      </c>
    </row>
    <row r="133" spans="3:26" s="144" customFormat="1" ht="11.25" hidden="1" customHeight="1">
      <c r="C133" s="243"/>
      <c r="D133" s="260"/>
      <c r="E133" s="246" t="s">
        <v>4119</v>
      </c>
      <c r="F133" s="247"/>
      <c r="H133" s="3010"/>
      <c r="I133" s="3011"/>
      <c r="J133" s="3012"/>
      <c r="K133" s="3013"/>
      <c r="L133" s="3011"/>
      <c r="M133" s="3011"/>
      <c r="N133" s="3014"/>
      <c r="O133" s="259" t="s">
        <v>574</v>
      </c>
      <c r="P133" s="261"/>
      <c r="Q133" s="3015"/>
      <c r="R133" s="3016"/>
      <c r="S133" s="3017"/>
      <c r="Z133" s="1618">
        <v>133</v>
      </c>
    </row>
    <row r="134" spans="3:26" s="144" customFormat="1" ht="11.25" hidden="1" customHeight="1">
      <c r="C134" s="243"/>
      <c r="D134" s="260"/>
      <c r="E134" s="246" t="s">
        <v>1666</v>
      </c>
      <c r="H134" s="1198"/>
      <c r="I134" s="664" t="s">
        <v>2056</v>
      </c>
      <c r="J134" s="3018"/>
      <c r="K134" s="2997"/>
      <c r="L134" s="262" t="s">
        <v>1837</v>
      </c>
      <c r="M134" s="2986"/>
      <c r="N134" s="2915"/>
      <c r="O134" s="2915"/>
      <c r="P134" s="2915"/>
      <c r="Q134" s="2939"/>
      <c r="R134" s="2939"/>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4368</v>
      </c>
      <c r="H136" s="2944"/>
      <c r="I136" s="2945"/>
      <c r="J136" s="2946"/>
      <c r="K136" s="262" t="s">
        <v>1665</v>
      </c>
      <c r="L136" s="2944"/>
      <c r="M136" s="2988"/>
      <c r="N136" s="2989"/>
      <c r="O136" s="259" t="s">
        <v>3057</v>
      </c>
      <c r="P136" s="261"/>
      <c r="Q136" s="3007"/>
      <c r="R136" s="3008"/>
      <c r="S136" s="3009"/>
      <c r="Z136" s="1618">
        <v>136</v>
      </c>
    </row>
    <row r="137" spans="3:26" s="144" customFormat="1" ht="11.25" hidden="1" customHeight="1">
      <c r="C137" s="243"/>
      <c r="D137" s="260"/>
      <c r="E137" s="246" t="s">
        <v>4119</v>
      </c>
      <c r="F137" s="247"/>
      <c r="H137" s="3010"/>
      <c r="I137" s="3011"/>
      <c r="J137" s="3012"/>
      <c r="K137" s="3013"/>
      <c r="L137" s="3011"/>
      <c r="M137" s="3011"/>
      <c r="N137" s="3014"/>
      <c r="O137" s="259" t="s">
        <v>574</v>
      </c>
      <c r="P137" s="261"/>
      <c r="Q137" s="3015"/>
      <c r="R137" s="3016"/>
      <c r="S137" s="3017"/>
      <c r="Z137" s="1618">
        <v>137</v>
      </c>
    </row>
    <row r="138" spans="3:26" s="144" customFormat="1" ht="11.25" hidden="1" customHeight="1">
      <c r="C138" s="243"/>
      <c r="D138" s="260"/>
      <c r="E138" s="246" t="s">
        <v>1666</v>
      </c>
      <c r="H138" s="1198"/>
      <c r="I138" s="664" t="s">
        <v>2056</v>
      </c>
      <c r="J138" s="3018"/>
      <c r="K138" s="2997"/>
      <c r="L138" s="262" t="s">
        <v>1837</v>
      </c>
      <c r="M138" s="2986"/>
      <c r="N138" s="2915"/>
      <c r="O138" s="2915"/>
      <c r="P138" s="2915"/>
      <c r="Q138" s="2939"/>
      <c r="R138" s="2939"/>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4369</v>
      </c>
      <c r="H140" s="2944"/>
      <c r="I140" s="2945"/>
      <c r="J140" s="2946"/>
      <c r="K140" s="262" t="s">
        <v>1665</v>
      </c>
      <c r="L140" s="2944"/>
      <c r="M140" s="2988"/>
      <c r="N140" s="2989"/>
      <c r="O140" s="259" t="s">
        <v>3057</v>
      </c>
      <c r="P140" s="261"/>
      <c r="Q140" s="3007"/>
      <c r="R140" s="3008"/>
      <c r="S140" s="3009"/>
      <c r="Z140" s="1618">
        <v>140</v>
      </c>
    </row>
    <row r="141" spans="3:26" s="144" customFormat="1" ht="11.25" hidden="1" customHeight="1">
      <c r="C141" s="243"/>
      <c r="D141" s="260"/>
      <c r="E141" s="246" t="s">
        <v>4119</v>
      </c>
      <c r="F141" s="247"/>
      <c r="H141" s="3010"/>
      <c r="I141" s="3011"/>
      <c r="J141" s="3012"/>
      <c r="K141" s="3013"/>
      <c r="L141" s="3011"/>
      <c r="M141" s="3011"/>
      <c r="N141" s="3014"/>
      <c r="O141" s="259" t="s">
        <v>574</v>
      </c>
      <c r="P141" s="261"/>
      <c r="Q141" s="3015"/>
      <c r="R141" s="3016"/>
      <c r="S141" s="3017"/>
      <c r="Z141" s="1618">
        <v>141</v>
      </c>
    </row>
    <row r="142" spans="3:26" s="144" customFormat="1" ht="11.25" hidden="1" customHeight="1">
      <c r="C142" s="243"/>
      <c r="D142" s="260"/>
      <c r="E142" s="246" t="s">
        <v>1666</v>
      </c>
      <c r="H142" s="1198"/>
      <c r="I142" s="664" t="s">
        <v>2056</v>
      </c>
      <c r="J142" s="3018"/>
      <c r="K142" s="2997"/>
      <c r="L142" s="262" t="s">
        <v>1837</v>
      </c>
      <c r="M142" s="2986"/>
      <c r="N142" s="2915"/>
      <c r="O142" s="2915"/>
      <c r="P142" s="2915"/>
      <c r="Q142" s="2939"/>
      <c r="R142" s="2939"/>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4363</v>
      </c>
      <c r="H144" s="2944"/>
      <c r="I144" s="2945"/>
      <c r="J144" s="2946"/>
      <c r="K144" s="262" t="s">
        <v>1665</v>
      </c>
      <c r="L144" s="2944"/>
      <c r="M144" s="2988"/>
      <c r="N144" s="2989"/>
      <c r="O144" s="259" t="s">
        <v>3057</v>
      </c>
      <c r="P144" s="261"/>
      <c r="Q144" s="3007"/>
      <c r="R144" s="3008"/>
      <c r="S144" s="3009"/>
      <c r="Z144" s="1618">
        <v>144</v>
      </c>
    </row>
    <row r="145" spans="1:26" s="144" customFormat="1" ht="11.25" customHeight="1">
      <c r="C145" s="243"/>
      <c r="D145" s="260"/>
      <c r="E145" s="246" t="s">
        <v>4119</v>
      </c>
      <c r="F145" s="247"/>
      <c r="H145" s="3010"/>
      <c r="I145" s="3011"/>
      <c r="J145" s="3012"/>
      <c r="K145" s="3013"/>
      <c r="L145" s="3011"/>
      <c r="M145" s="3011"/>
      <c r="N145" s="3014"/>
      <c r="O145" s="259" t="s">
        <v>574</v>
      </c>
      <c r="P145" s="261"/>
      <c r="Q145" s="3015"/>
      <c r="R145" s="3016"/>
      <c r="S145" s="3017"/>
      <c r="Z145" s="1618">
        <v>145</v>
      </c>
    </row>
    <row r="146" spans="1:26" s="144" customFormat="1" ht="11.25" customHeight="1">
      <c r="C146" s="243"/>
      <c r="D146" s="260"/>
      <c r="E146" s="246" t="s">
        <v>1666</v>
      </c>
      <c r="H146" s="1198"/>
      <c r="I146" s="664" t="s">
        <v>2056</v>
      </c>
      <c r="J146" s="3018"/>
      <c r="K146" s="2997"/>
      <c r="L146" s="262" t="s">
        <v>1837</v>
      </c>
      <c r="M146" s="2986"/>
      <c r="N146" s="2915"/>
      <c r="O146" s="2915"/>
      <c r="P146" s="2915"/>
      <c r="Q146" s="2939"/>
      <c r="R146" s="2939"/>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4364</v>
      </c>
      <c r="H148" s="2944"/>
      <c r="I148" s="2945"/>
      <c r="J148" s="2946"/>
      <c r="K148" s="262" t="s">
        <v>1665</v>
      </c>
      <c r="L148" s="2944"/>
      <c r="M148" s="2988"/>
      <c r="N148" s="2989"/>
      <c r="O148" s="259" t="s">
        <v>3057</v>
      </c>
      <c r="P148" s="261"/>
      <c r="Q148" s="3007"/>
      <c r="R148" s="3008"/>
      <c r="S148" s="3009"/>
      <c r="Z148" s="1618">
        <v>148</v>
      </c>
    </row>
    <row r="149" spans="1:26" s="144" customFormat="1" ht="11.25" customHeight="1">
      <c r="D149" s="260"/>
      <c r="E149" s="246" t="s">
        <v>4119</v>
      </c>
      <c r="F149" s="247"/>
      <c r="H149" s="3010"/>
      <c r="I149" s="3011"/>
      <c r="J149" s="3012"/>
      <c r="K149" s="3013"/>
      <c r="L149" s="3011"/>
      <c r="M149" s="3011"/>
      <c r="N149" s="3014"/>
      <c r="O149" s="259" t="s">
        <v>574</v>
      </c>
      <c r="P149" s="261"/>
      <c r="Q149" s="3015"/>
      <c r="R149" s="3016"/>
      <c r="S149" s="3017"/>
      <c r="Z149" s="1618">
        <v>149</v>
      </c>
    </row>
    <row r="150" spans="1:26" s="144" customFormat="1" ht="11.25" customHeight="1">
      <c r="D150" s="260"/>
      <c r="E150" s="246" t="s">
        <v>1666</v>
      </c>
      <c r="H150" s="1198"/>
      <c r="I150" s="664" t="s">
        <v>2056</v>
      </c>
      <c r="J150" s="3018"/>
      <c r="K150" s="2997"/>
      <c r="L150" s="262" t="s">
        <v>1837</v>
      </c>
      <c r="M150" s="2986"/>
      <c r="N150" s="2915"/>
      <c r="O150" s="2915"/>
      <c r="P150" s="2915"/>
      <c r="Q150" s="2939"/>
      <c r="R150" s="2939"/>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3756</v>
      </c>
      <c r="H152" s="479"/>
      <c r="I152" s="479"/>
      <c r="J152" s="479"/>
      <c r="K152" s="479"/>
      <c r="L152" s="479"/>
      <c r="M152" s="479"/>
      <c r="N152" s="479"/>
      <c r="O152" s="479"/>
      <c r="P152" s="479"/>
      <c r="Q152" s="479"/>
      <c r="R152" s="479"/>
      <c r="S152" s="479"/>
      <c r="Z152" s="1618">
        <v>152</v>
      </c>
    </row>
    <row r="153" spans="1:26" ht="13.5" thickBot="1">
      <c r="A153" s="3078" t="s">
        <v>3213</v>
      </c>
      <c r="B153" s="3078"/>
      <c r="C153" s="3078"/>
      <c r="D153" s="3078"/>
      <c r="E153" s="3078"/>
      <c r="H153" s="1200" t="s">
        <v>2302</v>
      </c>
      <c r="I153" s="3072" t="s">
        <v>4411</v>
      </c>
      <c r="J153" s="3073"/>
      <c r="K153" s="3073"/>
      <c r="L153" s="3073"/>
      <c r="M153" s="3073"/>
      <c r="N153" s="3073"/>
      <c r="O153" s="3073"/>
      <c r="P153" s="3073"/>
      <c r="Q153" s="3073"/>
      <c r="R153" s="3073"/>
      <c r="S153" s="3074"/>
      <c r="Z153" s="1618">
        <v>153</v>
      </c>
    </row>
    <row r="154" spans="1:26" s="144" customFormat="1" ht="15" customHeight="1" thickBot="1">
      <c r="B154" s="475" t="s">
        <v>1839</v>
      </c>
      <c r="C154" s="256" t="s">
        <v>2514</v>
      </c>
      <c r="E154" s="256"/>
      <c r="H154" s="1157" t="s">
        <v>3714</v>
      </c>
      <c r="I154" s="2977"/>
      <c r="J154" s="2978"/>
      <c r="K154" s="2978"/>
      <c r="L154" s="2978"/>
      <c r="M154" s="2978"/>
      <c r="N154" s="2978"/>
      <c r="O154" s="2978"/>
      <c r="P154" s="2978"/>
      <c r="Q154" s="2978"/>
      <c r="R154" s="2978"/>
      <c r="S154" s="2979"/>
      <c r="U154" s="2908" t="s">
        <v>1878</v>
      </c>
      <c r="V154" s="2908"/>
      <c r="Z154" s="1618">
        <v>154</v>
      </c>
    </row>
    <row r="155" spans="1:26" s="144" customFormat="1" ht="15" customHeight="1" thickBot="1">
      <c r="B155" s="475" t="s">
        <v>1841</v>
      </c>
      <c r="C155" s="256" t="s">
        <v>4117</v>
      </c>
      <c r="E155" s="256"/>
      <c r="H155" s="1157" t="s">
        <v>3714</v>
      </c>
      <c r="I155" s="2974"/>
      <c r="J155" s="2975"/>
      <c r="K155" s="2975"/>
      <c r="L155" s="2975"/>
      <c r="M155" s="2975"/>
      <c r="N155" s="2975"/>
      <c r="O155" s="2975"/>
      <c r="P155" s="2975"/>
      <c r="Q155" s="2975"/>
      <c r="R155" s="2975"/>
      <c r="S155" s="2976"/>
      <c r="U155" s="2908"/>
      <c r="V155" s="2908"/>
      <c r="Z155" s="1618">
        <v>155</v>
      </c>
    </row>
    <row r="156" spans="1:26" s="144" customFormat="1" ht="15" customHeight="1" thickBot="1">
      <c r="B156" s="475" t="s">
        <v>2326</v>
      </c>
      <c r="C156" s="256" t="s">
        <v>2550</v>
      </c>
      <c r="E156" s="256"/>
      <c r="H156" s="1157" t="s">
        <v>3714</v>
      </c>
      <c r="I156" s="2974"/>
      <c r="J156" s="2975"/>
      <c r="K156" s="2975"/>
      <c r="L156" s="2975"/>
      <c r="M156" s="2975"/>
      <c r="N156" s="2975"/>
      <c r="O156" s="2975"/>
      <c r="P156" s="2975"/>
      <c r="Q156" s="2975"/>
      <c r="R156" s="2975"/>
      <c r="S156" s="2976"/>
      <c r="U156" s="2908"/>
      <c r="V156" s="2908"/>
      <c r="Z156" s="1618">
        <v>156</v>
      </c>
    </row>
    <row r="157" spans="1:26" s="144" customFormat="1" ht="15" customHeight="1" thickBot="1">
      <c r="B157" s="475" t="s">
        <v>1149</v>
      </c>
      <c r="C157" s="256" t="s">
        <v>2515</v>
      </c>
      <c r="E157" s="256"/>
      <c r="H157" s="1157" t="s">
        <v>3714</v>
      </c>
      <c r="I157" s="2974"/>
      <c r="J157" s="2975"/>
      <c r="K157" s="2975"/>
      <c r="L157" s="2975"/>
      <c r="M157" s="2975"/>
      <c r="N157" s="2975"/>
      <c r="O157" s="2975"/>
      <c r="P157" s="2975"/>
      <c r="Q157" s="2975"/>
      <c r="R157" s="2975"/>
      <c r="S157" s="2976"/>
      <c r="U157" s="2908"/>
      <c r="V157" s="2908"/>
      <c r="Z157" s="1618">
        <v>157</v>
      </c>
    </row>
    <row r="158" spans="1:26" s="144" customFormat="1" ht="15" customHeight="1" thickBot="1">
      <c r="B158" s="475" t="s">
        <v>1150</v>
      </c>
      <c r="C158" s="256" t="s">
        <v>2991</v>
      </c>
      <c r="E158" s="256"/>
      <c r="H158" s="1157" t="s">
        <v>3714</v>
      </c>
      <c r="I158" s="2974"/>
      <c r="J158" s="2975"/>
      <c r="K158" s="2975"/>
      <c r="L158" s="2975"/>
      <c r="M158" s="2975"/>
      <c r="N158" s="2975"/>
      <c r="O158" s="2975"/>
      <c r="P158" s="2975"/>
      <c r="Q158" s="2975"/>
      <c r="R158" s="2975"/>
      <c r="S158" s="2976"/>
      <c r="U158" s="2908"/>
      <c r="V158" s="2908"/>
      <c r="Z158" s="1618">
        <v>158</v>
      </c>
    </row>
    <row r="159" spans="1:26" s="144" customFormat="1" ht="15" customHeight="1" thickBot="1">
      <c r="B159" s="475" t="s">
        <v>1737</v>
      </c>
      <c r="C159" s="256" t="s">
        <v>2992</v>
      </c>
      <c r="E159" s="256"/>
      <c r="H159" s="1157" t="s">
        <v>3714</v>
      </c>
      <c r="I159" s="2974"/>
      <c r="J159" s="2975"/>
      <c r="K159" s="2975"/>
      <c r="L159" s="2975"/>
      <c r="M159" s="2975"/>
      <c r="N159" s="2975"/>
      <c r="O159" s="2975"/>
      <c r="P159" s="2975"/>
      <c r="Q159" s="2975"/>
      <c r="R159" s="2975"/>
      <c r="S159" s="2976"/>
      <c r="U159" s="2908"/>
      <c r="V159" s="2908"/>
      <c r="Z159" s="1618">
        <v>159</v>
      </c>
    </row>
    <row r="160" spans="1:26" s="144" customFormat="1" ht="15" customHeight="1" thickBot="1">
      <c r="B160" s="475" t="s">
        <v>472</v>
      </c>
      <c r="C160" s="256" t="s">
        <v>2516</v>
      </c>
      <c r="E160" s="256"/>
      <c r="H160" s="1157" t="s">
        <v>3714</v>
      </c>
      <c r="I160" s="2974"/>
      <c r="J160" s="2975"/>
      <c r="K160" s="2975"/>
      <c r="L160" s="2975"/>
      <c r="M160" s="2975"/>
      <c r="N160" s="2975"/>
      <c r="O160" s="2975"/>
      <c r="P160" s="2975"/>
      <c r="Q160" s="2975"/>
      <c r="R160" s="2975"/>
      <c r="S160" s="2976"/>
      <c r="Z160" s="1618">
        <v>160</v>
      </c>
    </row>
    <row r="161" spans="1:26" s="144" customFormat="1" ht="15" customHeight="1" thickBot="1">
      <c r="B161" s="475" t="s">
        <v>473</v>
      </c>
      <c r="C161" s="256" t="s">
        <v>3765</v>
      </c>
      <c r="E161" s="256"/>
      <c r="H161" s="1157" t="s">
        <v>3714</v>
      </c>
      <c r="I161" s="2974"/>
      <c r="J161" s="2975"/>
      <c r="K161" s="2975"/>
      <c r="L161" s="2975"/>
      <c r="M161" s="2975"/>
      <c r="N161" s="2975"/>
      <c r="O161" s="2975"/>
      <c r="P161" s="2975"/>
      <c r="Q161" s="2975"/>
      <c r="R161" s="2975"/>
      <c r="S161" s="2976"/>
      <c r="Z161" s="1618">
        <v>161</v>
      </c>
    </row>
    <row r="162" spans="1:26" s="144" customFormat="1" ht="15" customHeight="1" thickBot="1">
      <c r="B162" s="475" t="s">
        <v>3764</v>
      </c>
      <c r="C162" s="3075" t="s">
        <v>4370</v>
      </c>
      <c r="D162" s="3076"/>
      <c r="E162" s="3076"/>
      <c r="F162" s="3076"/>
      <c r="G162" s="3077"/>
      <c r="H162" s="1157" t="s">
        <v>3714</v>
      </c>
      <c r="I162" s="2971"/>
      <c r="J162" s="2972"/>
      <c r="K162" s="2972"/>
      <c r="L162" s="2972"/>
      <c r="M162" s="2972"/>
      <c r="N162" s="2972"/>
      <c r="O162" s="2972"/>
      <c r="P162" s="2972"/>
      <c r="Q162" s="2972"/>
      <c r="R162" s="2972"/>
      <c r="S162" s="2973"/>
      <c r="Z162" s="1618">
        <v>162</v>
      </c>
    </row>
    <row r="163" spans="1:26" s="144" customFormat="1" ht="13.35" customHeight="1">
      <c r="A163" s="243" t="s">
        <v>1661</v>
      </c>
      <c r="B163" s="243" t="s">
        <v>2519</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3757</v>
      </c>
      <c r="Z165" s="1618">
        <v>165</v>
      </c>
    </row>
    <row r="166" spans="1:26" s="144" customFormat="1" ht="12.75" customHeight="1">
      <c r="A166" s="3040" t="s">
        <v>593</v>
      </c>
      <c r="B166" s="3041"/>
      <c r="C166" s="3041"/>
      <c r="D166" s="3041"/>
      <c r="E166" s="3046" t="s">
        <v>2980</v>
      </c>
      <c r="F166" s="3047"/>
      <c r="G166" s="3047"/>
      <c r="H166" s="3047"/>
      <c r="I166" s="3048"/>
      <c r="J166" s="3052" t="s">
        <v>2981</v>
      </c>
      <c r="K166" s="3055" t="s">
        <v>2572</v>
      </c>
      <c r="L166" s="3055" t="s">
        <v>2573</v>
      </c>
      <c r="M166" s="3058" t="s">
        <v>4371</v>
      </c>
      <c r="N166" s="3059"/>
      <c r="O166" s="3059"/>
      <c r="P166" s="3059"/>
      <c r="Q166" s="3059"/>
      <c r="R166" s="3059"/>
      <c r="S166" s="3060"/>
      <c r="Z166" s="1618">
        <v>166</v>
      </c>
    </row>
    <row r="167" spans="1:26" s="144" customFormat="1" ht="12.75" customHeight="1">
      <c r="A167" s="3042"/>
      <c r="B167" s="3043"/>
      <c r="C167" s="3043"/>
      <c r="D167" s="3043"/>
      <c r="E167" s="3049"/>
      <c r="F167" s="3050"/>
      <c r="G167" s="3050"/>
      <c r="H167" s="3050"/>
      <c r="I167" s="3051"/>
      <c r="J167" s="3053"/>
      <c r="K167" s="3056"/>
      <c r="L167" s="3056"/>
      <c r="M167" s="3061"/>
      <c r="N167" s="3062"/>
      <c r="O167" s="3062"/>
      <c r="P167" s="3062"/>
      <c r="Q167" s="3062"/>
      <c r="R167" s="3062"/>
      <c r="S167" s="3063"/>
      <c r="Z167" s="1618">
        <v>167</v>
      </c>
    </row>
    <row r="168" spans="1:26" s="144" customFormat="1" ht="12.75" customHeight="1">
      <c r="A168" s="3042"/>
      <c r="B168" s="3043"/>
      <c r="C168" s="3043"/>
      <c r="D168" s="3043"/>
      <c r="E168" s="3049"/>
      <c r="F168" s="3050"/>
      <c r="G168" s="3050"/>
      <c r="H168" s="3050"/>
      <c r="I168" s="3051"/>
      <c r="J168" s="3053"/>
      <c r="K168" s="3056"/>
      <c r="L168" s="3056"/>
      <c r="M168" s="3061"/>
      <c r="N168" s="3062"/>
      <c r="O168" s="3062"/>
      <c r="P168" s="3062"/>
      <c r="Q168" s="3062"/>
      <c r="R168" s="3062"/>
      <c r="S168" s="3063"/>
      <c r="Z168" s="1618">
        <v>168</v>
      </c>
    </row>
    <row r="169" spans="1:26" s="144" customFormat="1" ht="12.75" customHeight="1">
      <c r="A169" s="3042"/>
      <c r="B169" s="3043"/>
      <c r="C169" s="3043"/>
      <c r="D169" s="3043"/>
      <c r="E169" s="3064" t="s">
        <v>3134</v>
      </c>
      <c r="F169" s="3065"/>
      <c r="G169" s="3065"/>
      <c r="H169" s="3066"/>
      <c r="I169" s="480"/>
      <c r="J169" s="3053"/>
      <c r="K169" s="3056"/>
      <c r="L169" s="3056"/>
      <c r="M169" s="3061"/>
      <c r="N169" s="3062"/>
      <c r="O169" s="3062"/>
      <c r="P169" s="3062"/>
      <c r="Q169" s="3062"/>
      <c r="R169" s="3062"/>
      <c r="S169" s="3063"/>
      <c r="Z169" s="1618">
        <v>169</v>
      </c>
    </row>
    <row r="170" spans="1:26" s="144" customFormat="1" ht="13.5" customHeight="1">
      <c r="A170" s="3044"/>
      <c r="B170" s="3045"/>
      <c r="C170" s="3045"/>
      <c r="D170" s="3045"/>
      <c r="E170" s="3067"/>
      <c r="F170" s="3068"/>
      <c r="G170" s="3068"/>
      <c r="H170" s="3069"/>
      <c r="I170" s="1158" t="s">
        <v>2302</v>
      </c>
      <c r="J170" s="3054"/>
      <c r="K170" s="3057"/>
      <c r="L170" s="3056"/>
      <c r="M170" s="1159" t="s">
        <v>2302</v>
      </c>
      <c r="N170" s="3070" t="s">
        <v>2571</v>
      </c>
      <c r="O170" s="3070"/>
      <c r="P170" s="3070"/>
      <c r="Q170" s="3070"/>
      <c r="R170" s="3070"/>
      <c r="S170" s="3071"/>
      <c r="Z170" s="1618">
        <v>170</v>
      </c>
    </row>
    <row r="171" spans="1:26" s="144" customFormat="1" ht="23.25" customHeight="1">
      <c r="A171" s="3035" t="s">
        <v>2975</v>
      </c>
      <c r="B171" s="3036"/>
      <c r="C171" s="3036"/>
      <c r="D171" s="3037"/>
      <c r="E171" s="3038"/>
      <c r="F171" s="2978"/>
      <c r="G171" s="2978"/>
      <c r="H171" s="2978"/>
      <c r="I171" s="634" t="s">
        <v>3714</v>
      </c>
      <c r="J171" s="476" t="s">
        <v>3714</v>
      </c>
      <c r="K171" s="476"/>
      <c r="L171" s="637"/>
      <c r="M171" s="481" t="s">
        <v>3714</v>
      </c>
      <c r="N171" s="3039"/>
      <c r="O171" s="2978"/>
      <c r="P171" s="2978"/>
      <c r="Q171" s="2978"/>
      <c r="R171" s="2978"/>
      <c r="S171" s="2979"/>
      <c r="Z171" s="1618">
        <v>171</v>
      </c>
    </row>
    <row r="172" spans="1:26" s="144" customFormat="1" ht="23.25" customHeight="1">
      <c r="A172" s="3030" t="s">
        <v>2976</v>
      </c>
      <c r="B172" s="3031"/>
      <c r="C172" s="3031"/>
      <c r="D172" s="3032"/>
      <c r="E172" s="3033"/>
      <c r="F172" s="2975"/>
      <c r="G172" s="2975"/>
      <c r="H172" s="2975"/>
      <c r="I172" s="635" t="s">
        <v>3714</v>
      </c>
      <c r="J172" s="477" t="s">
        <v>3714</v>
      </c>
      <c r="K172" s="477"/>
      <c r="L172" s="638"/>
      <c r="M172" s="482" t="s">
        <v>3714</v>
      </c>
      <c r="N172" s="3034"/>
      <c r="O172" s="2975"/>
      <c r="P172" s="2975"/>
      <c r="Q172" s="2975"/>
      <c r="R172" s="2975"/>
      <c r="S172" s="2976"/>
      <c r="U172" s="2908" t="s">
        <v>1878</v>
      </c>
      <c r="V172" s="2908"/>
      <c r="Z172" s="1618">
        <v>172</v>
      </c>
    </row>
    <row r="173" spans="1:26" s="144" customFormat="1" ht="23.25" customHeight="1">
      <c r="A173" s="3030" t="s">
        <v>2977</v>
      </c>
      <c r="B173" s="3031"/>
      <c r="C173" s="3031"/>
      <c r="D173" s="3032"/>
      <c r="E173" s="3033"/>
      <c r="F173" s="2975"/>
      <c r="G173" s="2975"/>
      <c r="H173" s="2975"/>
      <c r="I173" s="635" t="s">
        <v>3714</v>
      </c>
      <c r="J173" s="477" t="s">
        <v>3714</v>
      </c>
      <c r="K173" s="477"/>
      <c r="L173" s="638"/>
      <c r="M173" s="482" t="s">
        <v>3714</v>
      </c>
      <c r="N173" s="3034"/>
      <c r="O173" s="2975"/>
      <c r="P173" s="2975"/>
      <c r="Q173" s="2975"/>
      <c r="R173" s="2975"/>
      <c r="S173" s="2976"/>
      <c r="U173" s="2908"/>
      <c r="V173" s="2908"/>
      <c r="Z173" s="1618">
        <v>173</v>
      </c>
    </row>
    <row r="174" spans="1:26" s="144" customFormat="1" ht="23.25" customHeight="1">
      <c r="A174" s="3030" t="s">
        <v>2978</v>
      </c>
      <c r="B174" s="3031"/>
      <c r="C174" s="3031"/>
      <c r="D174" s="3032"/>
      <c r="E174" s="3033"/>
      <c r="F174" s="2975"/>
      <c r="G174" s="2975"/>
      <c r="H174" s="2975"/>
      <c r="I174" s="635" t="s">
        <v>3714</v>
      </c>
      <c r="J174" s="477" t="s">
        <v>3714</v>
      </c>
      <c r="K174" s="477"/>
      <c r="L174" s="638"/>
      <c r="M174" s="482" t="s">
        <v>3714</v>
      </c>
      <c r="N174" s="3034"/>
      <c r="O174" s="2975"/>
      <c r="P174" s="2975"/>
      <c r="Q174" s="2975"/>
      <c r="R174" s="2975"/>
      <c r="S174" s="2976"/>
      <c r="U174" s="2908"/>
      <c r="V174" s="2908"/>
      <c r="Z174" s="1618">
        <v>174</v>
      </c>
    </row>
    <row r="175" spans="1:26" s="144" customFormat="1" ht="23.25" customHeight="1">
      <c r="A175" s="3030" t="s">
        <v>2979</v>
      </c>
      <c r="B175" s="3031"/>
      <c r="C175" s="3031"/>
      <c r="D175" s="3032"/>
      <c r="E175" s="3033"/>
      <c r="F175" s="2975"/>
      <c r="G175" s="2975"/>
      <c r="H175" s="2975"/>
      <c r="I175" s="635" t="s">
        <v>3714</v>
      </c>
      <c r="J175" s="477" t="s">
        <v>3714</v>
      </c>
      <c r="K175" s="477"/>
      <c r="L175" s="638"/>
      <c r="M175" s="482" t="s">
        <v>3714</v>
      </c>
      <c r="N175" s="3034"/>
      <c r="O175" s="2975"/>
      <c r="P175" s="2975"/>
      <c r="Q175" s="2975"/>
      <c r="R175" s="2975"/>
      <c r="S175" s="2976"/>
      <c r="U175" s="2908"/>
      <c r="V175" s="2908"/>
      <c r="Z175" s="1618">
        <v>175</v>
      </c>
    </row>
    <row r="176" spans="1:26" s="144" customFormat="1" ht="23.25" customHeight="1">
      <c r="A176" s="3030" t="s">
        <v>2562</v>
      </c>
      <c r="B176" s="3031"/>
      <c r="C176" s="3031"/>
      <c r="D176" s="3032"/>
      <c r="E176" s="3033"/>
      <c r="F176" s="2975"/>
      <c r="G176" s="2975"/>
      <c r="H176" s="2975"/>
      <c r="I176" s="635" t="s">
        <v>3714</v>
      </c>
      <c r="J176" s="477" t="s">
        <v>3714</v>
      </c>
      <c r="K176" s="477"/>
      <c r="L176" s="638"/>
      <c r="M176" s="482" t="s">
        <v>3714</v>
      </c>
      <c r="N176" s="3034"/>
      <c r="O176" s="2975"/>
      <c r="P176" s="2975"/>
      <c r="Q176" s="2975"/>
      <c r="R176" s="2975"/>
      <c r="S176" s="2976"/>
      <c r="U176" s="2908"/>
      <c r="V176" s="2908"/>
      <c r="Z176" s="1618">
        <v>176</v>
      </c>
    </row>
    <row r="177" spans="1:26" s="144" customFormat="1" ht="23.25" customHeight="1">
      <c r="A177" s="3030" t="s">
        <v>606</v>
      </c>
      <c r="B177" s="3031"/>
      <c r="C177" s="3031"/>
      <c r="D177" s="3032"/>
      <c r="E177" s="3033"/>
      <c r="F177" s="2975"/>
      <c r="G177" s="2975"/>
      <c r="H177" s="2975"/>
      <c r="I177" s="635" t="s">
        <v>3714</v>
      </c>
      <c r="J177" s="477" t="s">
        <v>3714</v>
      </c>
      <c r="K177" s="477"/>
      <c r="L177" s="638"/>
      <c r="M177" s="482" t="s">
        <v>3714</v>
      </c>
      <c r="N177" s="3034"/>
      <c r="O177" s="2975"/>
      <c r="P177" s="2975"/>
      <c r="Q177" s="2975"/>
      <c r="R177" s="2975"/>
      <c r="S177" s="2976"/>
      <c r="U177" s="2908"/>
      <c r="V177" s="2908"/>
      <c r="Z177" s="1618">
        <v>177</v>
      </c>
    </row>
    <row r="178" spans="1:26" s="144" customFormat="1" ht="23.25" customHeight="1">
      <c r="A178" s="3030" t="s">
        <v>2563</v>
      </c>
      <c r="B178" s="3031"/>
      <c r="C178" s="3031"/>
      <c r="D178" s="3032"/>
      <c r="E178" s="3033"/>
      <c r="F178" s="2975"/>
      <c r="G178" s="2975"/>
      <c r="H178" s="2975"/>
      <c r="I178" s="635" t="s">
        <v>3714</v>
      </c>
      <c r="J178" s="477" t="s">
        <v>3714</v>
      </c>
      <c r="K178" s="477"/>
      <c r="L178" s="638"/>
      <c r="M178" s="482" t="s">
        <v>3714</v>
      </c>
      <c r="N178" s="3034"/>
      <c r="O178" s="2975"/>
      <c r="P178" s="2975"/>
      <c r="Q178" s="2975"/>
      <c r="R178" s="2975"/>
      <c r="S178" s="2976"/>
      <c r="Z178" s="1618">
        <v>178</v>
      </c>
    </row>
    <row r="179" spans="1:26" s="144" customFormat="1" ht="23.25" customHeight="1">
      <c r="A179" s="3030" t="s">
        <v>2564</v>
      </c>
      <c r="B179" s="3031"/>
      <c r="C179" s="3031"/>
      <c r="D179" s="3032"/>
      <c r="E179" s="3033"/>
      <c r="F179" s="2975"/>
      <c r="G179" s="2975"/>
      <c r="H179" s="2975"/>
      <c r="I179" s="635" t="s">
        <v>3714</v>
      </c>
      <c r="J179" s="477" t="s">
        <v>3714</v>
      </c>
      <c r="K179" s="477"/>
      <c r="L179" s="638"/>
      <c r="M179" s="482" t="s">
        <v>3714</v>
      </c>
      <c r="N179" s="3034"/>
      <c r="O179" s="2975"/>
      <c r="P179" s="2975"/>
      <c r="Q179" s="2975"/>
      <c r="R179" s="2975"/>
      <c r="S179" s="2976"/>
      <c r="Z179" s="1618">
        <v>179</v>
      </c>
    </row>
    <row r="180" spans="1:26" s="144" customFormat="1" ht="23.25" customHeight="1">
      <c r="A180" s="3030" t="s">
        <v>2566</v>
      </c>
      <c r="B180" s="3031"/>
      <c r="C180" s="3031"/>
      <c r="D180" s="3032"/>
      <c r="E180" s="3033"/>
      <c r="F180" s="2975"/>
      <c r="G180" s="2975"/>
      <c r="H180" s="2975"/>
      <c r="I180" s="635" t="s">
        <v>3714</v>
      </c>
      <c r="J180" s="477" t="s">
        <v>3714</v>
      </c>
      <c r="K180" s="477"/>
      <c r="L180" s="638"/>
      <c r="M180" s="482" t="s">
        <v>3714</v>
      </c>
      <c r="N180" s="3034"/>
      <c r="O180" s="2975"/>
      <c r="P180" s="2975"/>
      <c r="Q180" s="2975"/>
      <c r="R180" s="2975"/>
      <c r="S180" s="2976"/>
      <c r="Z180" s="1618">
        <v>180</v>
      </c>
    </row>
    <row r="181" spans="1:26" s="144" customFormat="1" ht="23.25" customHeight="1">
      <c r="A181" s="3030" t="s">
        <v>2565</v>
      </c>
      <c r="B181" s="3031"/>
      <c r="C181" s="3031"/>
      <c r="D181" s="3032"/>
      <c r="E181" s="3033"/>
      <c r="F181" s="2975"/>
      <c r="G181" s="2975"/>
      <c r="H181" s="2975"/>
      <c r="I181" s="635" t="s">
        <v>3714</v>
      </c>
      <c r="J181" s="477" t="s">
        <v>3714</v>
      </c>
      <c r="K181" s="477"/>
      <c r="L181" s="638"/>
      <c r="M181" s="482" t="s">
        <v>3714</v>
      </c>
      <c r="N181" s="3034"/>
      <c r="O181" s="2975"/>
      <c r="P181" s="2975"/>
      <c r="Q181" s="2975"/>
      <c r="R181" s="2975"/>
      <c r="S181" s="2976"/>
      <c r="Z181" s="1618">
        <v>181</v>
      </c>
    </row>
    <row r="182" spans="1:26" s="144" customFormat="1" ht="23.25" customHeight="1">
      <c r="A182" s="3030" t="s">
        <v>1429</v>
      </c>
      <c r="B182" s="3031"/>
      <c r="C182" s="3031"/>
      <c r="D182" s="3032"/>
      <c r="E182" s="3033"/>
      <c r="F182" s="2975"/>
      <c r="G182" s="2975"/>
      <c r="H182" s="2975"/>
      <c r="I182" s="635" t="s">
        <v>3714</v>
      </c>
      <c r="J182" s="477" t="s">
        <v>3714</v>
      </c>
      <c r="K182" s="477"/>
      <c r="L182" s="638"/>
      <c r="M182" s="482" t="s">
        <v>3714</v>
      </c>
      <c r="N182" s="3034"/>
      <c r="O182" s="2975"/>
      <c r="P182" s="2975"/>
      <c r="Q182" s="2975"/>
      <c r="R182" s="2975"/>
      <c r="S182" s="2976"/>
      <c r="Z182" s="1618">
        <v>182</v>
      </c>
    </row>
    <row r="183" spans="1:26" s="144" customFormat="1" ht="23.25" customHeight="1">
      <c r="A183" s="3019" t="s">
        <v>2567</v>
      </c>
      <c r="B183" s="3020"/>
      <c r="C183" s="3020"/>
      <c r="D183" s="3021"/>
      <c r="E183" s="3022"/>
      <c r="F183" s="2972"/>
      <c r="G183" s="2972"/>
      <c r="H183" s="2972"/>
      <c r="I183" s="636" t="s">
        <v>3714</v>
      </c>
      <c r="J183" s="478" t="s">
        <v>3714</v>
      </c>
      <c r="K183" s="478"/>
      <c r="L183" s="639"/>
      <c r="M183" s="483" t="s">
        <v>3714</v>
      </c>
      <c r="N183" s="3023"/>
      <c r="O183" s="2972"/>
      <c r="P183" s="2972"/>
      <c r="Q183" s="2972"/>
      <c r="R183" s="2972"/>
      <c r="S183" s="2973"/>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4"/>
      <c r="B186" s="3025"/>
      <c r="C186" s="3025"/>
      <c r="D186" s="3025"/>
      <c r="E186" s="3025"/>
      <c r="F186" s="3025"/>
      <c r="G186" s="3025"/>
      <c r="H186" s="3025"/>
      <c r="I186" s="3025"/>
      <c r="J186" s="3025"/>
      <c r="K186" s="3025"/>
      <c r="L186" s="3025"/>
      <c r="M186" s="3026"/>
      <c r="N186" s="3027"/>
      <c r="O186" s="3028"/>
      <c r="P186" s="3028"/>
      <c r="Q186" s="3028"/>
      <c r="R186" s="3028"/>
      <c r="S186" s="3029"/>
      <c r="T186" s="2908" t="s">
        <v>2445</v>
      </c>
      <c r="U186" s="2908"/>
      <c r="V186" s="2908"/>
      <c r="W186" s="2908"/>
      <c r="X186" s="2908"/>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8"/>
      <c r="U187" s="2908"/>
      <c r="V187" s="2908"/>
      <c r="W187" s="2908"/>
      <c r="X187" s="2908"/>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2873</v>
      </c>
      <c r="H1" s="603" t="str">
        <f>'Sensitivity Analysis'!C8</f>
        <v>Lewis Crossing</v>
      </c>
    </row>
    <row r="2" spans="1:14">
      <c r="A2" s="549" t="s">
        <v>2874</v>
      </c>
      <c r="H2" s="431" t="str">
        <f>'Sensitivity Analysis'!E8</f>
        <v>2024-0</v>
      </c>
    </row>
    <row r="3" spans="1:14" ht="3" customHeight="1"/>
    <row r="4" spans="1:14" ht="69.599999999999994" customHeight="1">
      <c r="A4" s="4733" t="s">
        <v>2912</v>
      </c>
      <c r="B4" s="4733"/>
      <c r="C4" s="4733"/>
      <c r="D4" s="4733"/>
      <c r="E4" s="4733"/>
      <c r="F4" s="4733"/>
      <c r="G4" s="4733"/>
      <c r="H4" s="4733"/>
      <c r="I4" s="4733"/>
      <c r="J4" s="4733"/>
      <c r="K4" s="4733"/>
      <c r="L4" s="4775">
        <f>SUM('Part VI-Pro Forma'!B15:B17)/12</f>
        <v>46386.85</v>
      </c>
      <c r="M4" s="4775"/>
      <c r="N4" s="1408" t="s">
        <v>3544</v>
      </c>
    </row>
    <row r="5" spans="1:14" ht="1.5" customHeight="1"/>
    <row r="6" spans="1:14" ht="12.75" customHeight="1">
      <c r="B6" s="623" t="s">
        <v>2234</v>
      </c>
      <c r="C6" s="605" t="s">
        <v>2875</v>
      </c>
      <c r="D6" s="605"/>
      <c r="E6" s="605"/>
      <c r="F6" s="605"/>
      <c r="G6" s="605"/>
      <c r="H6" s="605"/>
    </row>
    <row r="7" spans="1:14" ht="12.75" customHeight="1">
      <c r="B7" s="623" t="s">
        <v>2235</v>
      </c>
      <c r="C7" s="4733" t="s">
        <v>2876</v>
      </c>
      <c r="D7" s="4733"/>
      <c r="E7" s="4733"/>
      <c r="F7" s="4733"/>
      <c r="G7" s="4733"/>
      <c r="H7" s="4733"/>
      <c r="I7" s="4733"/>
      <c r="J7" s="4733"/>
      <c r="K7" s="4733"/>
      <c r="L7" s="4733"/>
      <c r="M7" s="4733"/>
    </row>
    <row r="8" spans="1:14" ht="3" customHeight="1"/>
    <row r="9" spans="1:14">
      <c r="A9" s="431" t="s">
        <v>2877</v>
      </c>
    </row>
    <row r="10" spans="1:14" ht="1.5" customHeight="1"/>
    <row r="11" spans="1:14" ht="26.25" customHeight="1">
      <c r="A11" s="624" t="s">
        <v>1836</v>
      </c>
      <c r="B11" s="4733" t="s">
        <v>2909</v>
      </c>
      <c r="C11" s="4733"/>
      <c r="D11" s="4733"/>
      <c r="E11" s="4733"/>
      <c r="F11" s="4733"/>
      <c r="G11" s="4733"/>
      <c r="H11" s="4733"/>
      <c r="I11" s="4733"/>
      <c r="J11" s="4733"/>
      <c r="K11" s="4733"/>
      <c r="L11" s="4734">
        <f>'Part II-Sources of Funds'!I51+'Part II-Sources of Funds'!I52</f>
        <v>18088853</v>
      </c>
      <c r="M11" s="4734"/>
    </row>
    <row r="12" spans="1:14" ht="1.5" customHeight="1">
      <c r="G12" s="605"/>
      <c r="H12" s="605"/>
    </row>
    <row r="13" spans="1:14" ht="25.9" customHeight="1">
      <c r="A13" s="624" t="s">
        <v>1838</v>
      </c>
      <c r="B13" s="4733" t="s">
        <v>2910</v>
      </c>
      <c r="C13" s="4733"/>
      <c r="D13" s="4733"/>
      <c r="E13" s="4733"/>
      <c r="F13" s="4733"/>
      <c r="G13" s="4733"/>
      <c r="H13" s="4733"/>
      <c r="I13" s="4733"/>
      <c r="J13" s="4733"/>
      <c r="K13" s="4733"/>
      <c r="L13" s="4735" t="s">
        <v>2805</v>
      </c>
      <c r="M13" s="4735"/>
    </row>
    <row r="14" spans="1:14">
      <c r="A14" s="624"/>
      <c r="B14" s="4690"/>
      <c r="C14" s="4690"/>
      <c r="D14" s="4690"/>
      <c r="E14" s="4690"/>
      <c r="F14" s="4690"/>
      <c r="G14" s="4690"/>
      <c r="H14" s="4690"/>
    </row>
    <row r="15" spans="1:14" ht="3" customHeight="1"/>
    <row r="16" spans="1:14">
      <c r="A16" s="624" t="s">
        <v>697</v>
      </c>
      <c r="B16" s="431" t="s">
        <v>2913</v>
      </c>
      <c r="L16" s="4736" t="s">
        <v>2645</v>
      </c>
      <c r="M16" s="4736"/>
    </row>
    <row r="17" spans="1:19" ht="1.5" customHeight="1">
      <c r="L17" s="608"/>
    </row>
    <row r="18" spans="1:19" ht="12" customHeight="1">
      <c r="A18" s="624" t="s">
        <v>1957</v>
      </c>
      <c r="B18" s="605" t="s">
        <v>2911</v>
      </c>
      <c r="C18" s="624"/>
      <c r="D18" s="624"/>
      <c r="E18" s="624"/>
      <c r="L18" s="4690" t="s">
        <v>2508</v>
      </c>
      <c r="M18" s="4690"/>
    </row>
    <row r="19" spans="1:19" ht="12" hidden="1" customHeight="1">
      <c r="B19" s="4690"/>
      <c r="C19" s="4690"/>
      <c r="D19" s="4690"/>
      <c r="E19" s="4690"/>
      <c r="F19" s="4690"/>
      <c r="G19" s="4690"/>
      <c r="H19" s="4690"/>
    </row>
    <row r="20" spans="1:19" ht="13.5" customHeight="1"/>
    <row r="21" spans="1:19" ht="12" customHeight="1">
      <c r="A21" s="549" t="s">
        <v>2878</v>
      </c>
    </row>
    <row r="22" spans="1:19" ht="3" customHeight="1"/>
    <row r="23" spans="1:19" ht="42.6" customHeight="1">
      <c r="A23" s="4737" t="s">
        <v>3949</v>
      </c>
      <c r="B23" s="4737"/>
      <c r="C23" s="4737"/>
      <c r="D23" s="4737"/>
      <c r="E23" s="4737"/>
      <c r="F23" s="4737"/>
      <c r="G23" s="4737"/>
      <c r="H23" s="4737"/>
      <c r="I23" s="4737"/>
      <c r="J23" s="4737"/>
      <c r="K23" s="4737"/>
      <c r="L23" s="4737"/>
      <c r="M23" s="4737"/>
    </row>
    <row r="24" spans="1:19" ht="18" customHeight="1">
      <c r="E24" s="604" t="s">
        <v>525</v>
      </c>
      <c r="F24" s="604" t="s">
        <v>499</v>
      </c>
      <c r="G24" s="604" t="s">
        <v>500</v>
      </c>
      <c r="H24" s="604" t="s">
        <v>501</v>
      </c>
      <c r="I24" s="604" t="s">
        <v>502</v>
      </c>
      <c r="J24" s="604" t="s">
        <v>503</v>
      </c>
      <c r="K24" s="431"/>
      <c r="S24" s="431"/>
    </row>
    <row r="25" spans="1:19" ht="14.25" customHeight="1">
      <c r="C25" s="723" t="s">
        <v>3557</v>
      </c>
      <c r="D25" s="438"/>
      <c r="E25" s="1496">
        <f>'Part V-Revenues &amp; Expenses'!K56</f>
        <v>0</v>
      </c>
      <c r="F25" s="1497">
        <f>'Part V-Revenues &amp; Expenses'!L56</f>
        <v>5</v>
      </c>
      <c r="G25" s="1497">
        <f>'Part V-Revenues &amp; Expenses'!M56</f>
        <v>1</v>
      </c>
      <c r="H25" s="1497">
        <f>'Part V-Revenues &amp; Expenses'!N56</f>
        <v>1</v>
      </c>
      <c r="I25" s="1497">
        <f>'Part V-Revenues &amp; Expenses'!O56</f>
        <v>0</v>
      </c>
      <c r="J25" s="2456">
        <f>'Part V-Revenues &amp; Expenses'!P56</f>
        <v>7</v>
      </c>
      <c r="K25" s="431"/>
      <c r="S25" s="431"/>
    </row>
    <row r="26" spans="1:19" ht="15" customHeight="1">
      <c r="C26" s="723" t="s">
        <v>3558</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14</v>
      </c>
      <c r="G27" s="1499">
        <f>'Part V-Revenues &amp; Expenses'!M58</f>
        <v>3</v>
      </c>
      <c r="H27" s="1499">
        <f>'Part V-Revenues &amp; Expenses'!N58</f>
        <v>1</v>
      </c>
      <c r="I27" s="1499">
        <f>'Part V-Revenues &amp; Expenses'!O58</f>
        <v>0</v>
      </c>
      <c r="J27" s="2457">
        <f>'Part V-Revenues &amp; Expenses'!P58</f>
        <v>18</v>
      </c>
      <c r="K27" s="431"/>
      <c r="S27" s="431"/>
    </row>
    <row r="28" spans="1:19" ht="15" customHeight="1">
      <c r="C28" s="723" t="s">
        <v>112</v>
      </c>
      <c r="D28" s="438"/>
      <c r="E28" s="1498">
        <f>'Part V-Revenues &amp; Expenses'!K59</f>
        <v>0</v>
      </c>
      <c r="F28" s="1499">
        <f>'Part V-Revenues &amp; Expenses'!L59</f>
        <v>18</v>
      </c>
      <c r="G28" s="1499">
        <f>'Part V-Revenues &amp; Expenses'!M59</f>
        <v>4</v>
      </c>
      <c r="H28" s="1499">
        <f>'Part V-Revenues &amp; Expenses'!N59</f>
        <v>3</v>
      </c>
      <c r="I28" s="1499">
        <f>'Part V-Revenues &amp; Expenses'!O59</f>
        <v>0</v>
      </c>
      <c r="J28" s="2457">
        <f>'Part V-Revenues &amp; Expenses'!P59</f>
        <v>25</v>
      </c>
      <c r="K28" s="431"/>
      <c r="S28" s="431"/>
    </row>
    <row r="29" spans="1:19" ht="13.15" customHeight="1">
      <c r="C29" s="723" t="s">
        <v>3559</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3560</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3561</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37</v>
      </c>
      <c r="G32" s="2459">
        <f>'Part V-Revenues &amp; Expenses'!M63</f>
        <v>8</v>
      </c>
      <c r="H32" s="2459">
        <f>'Part V-Revenues &amp; Expenses'!N63</f>
        <v>5</v>
      </c>
      <c r="I32" s="2459">
        <f>'Part V-Revenues &amp; Expenses'!O63</f>
        <v>0</v>
      </c>
      <c r="J32" s="1500">
        <f>'Part V-Revenues &amp; Expenses'!P63</f>
        <v>50</v>
      </c>
      <c r="K32" s="431"/>
      <c r="S32" s="431"/>
    </row>
    <row r="33" spans="1:12" s="431" customFormat="1" ht="13.15" customHeight="1" thickBot="1">
      <c r="K33" s="1407"/>
    </row>
    <row r="34" spans="1:12" s="431" customFormat="1" ht="14.25" customHeight="1" thickBot="1">
      <c r="A34" s="1407"/>
      <c r="B34" s="4749" t="s">
        <v>4068</v>
      </c>
      <c r="E34" s="4750" t="s">
        <v>3968</v>
      </c>
      <c r="F34" s="4751"/>
      <c r="G34" s="4751"/>
      <c r="H34" s="4751"/>
      <c r="I34" s="4751"/>
      <c r="J34" s="4751"/>
      <c r="K34" s="4751"/>
      <c r="L34" s="4752"/>
    </row>
    <row r="35" spans="1:12" s="431" customFormat="1" ht="14.25" customHeight="1">
      <c r="A35" s="1407"/>
      <c r="B35" s="4749"/>
      <c r="C35" s="4753" t="s">
        <v>4069</v>
      </c>
      <c r="D35" s="4749" t="s">
        <v>4070</v>
      </c>
      <c r="E35" s="4754" t="s">
        <v>3971</v>
      </c>
      <c r="F35" s="4755"/>
      <c r="G35" s="4758" t="s">
        <v>1273</v>
      </c>
      <c r="H35" s="4760" t="s">
        <v>3967</v>
      </c>
      <c r="I35" s="4761"/>
      <c r="J35" s="4761"/>
      <c r="K35" s="4761"/>
      <c r="L35" s="4762"/>
    </row>
    <row r="36" spans="1:12" s="431" customFormat="1" ht="23.25" customHeight="1">
      <c r="A36" s="4753" t="s">
        <v>974</v>
      </c>
      <c r="B36" s="4749"/>
      <c r="C36" s="4753"/>
      <c r="D36" s="4749"/>
      <c r="E36" s="4756"/>
      <c r="F36" s="4757"/>
      <c r="G36" s="4759"/>
      <c r="H36" s="4763" t="s">
        <v>3969</v>
      </c>
      <c r="I36" s="4764"/>
      <c r="J36" s="4767" t="s">
        <v>1273</v>
      </c>
      <c r="K36" s="4764" t="s">
        <v>3970</v>
      </c>
      <c r="L36" s="4769"/>
    </row>
    <row r="37" spans="1:12" s="431" customFormat="1" ht="23.25" customHeight="1">
      <c r="A37" s="4753"/>
      <c r="B37" s="4749"/>
      <c r="C37" s="4753"/>
      <c r="D37" s="4749"/>
      <c r="E37" s="4756"/>
      <c r="F37" s="4757"/>
      <c r="G37" s="4759"/>
      <c r="H37" s="4763"/>
      <c r="I37" s="4764"/>
      <c r="J37" s="4768"/>
      <c r="K37" s="4764"/>
      <c r="L37" s="4769"/>
    </row>
    <row r="38" spans="1:12" s="431" customFormat="1" ht="23.25" customHeight="1">
      <c r="A38" s="4749"/>
      <c r="B38" s="4749"/>
      <c r="C38" s="4749"/>
      <c r="D38" s="4749"/>
      <c r="E38" s="4756"/>
      <c r="F38" s="4757"/>
      <c r="G38" s="4759"/>
      <c r="H38" s="4765"/>
      <c r="I38" s="4766"/>
      <c r="J38" s="4768"/>
      <c r="K38" s="4766"/>
      <c r="L38" s="4770"/>
    </row>
    <row r="39" spans="1:12" s="431" customFormat="1" ht="13.15" customHeight="1">
      <c r="A39" s="1486">
        <f>'Part V-Revenues &amp; Expenses'!B18</f>
        <v>50</v>
      </c>
      <c r="B39" s="1487">
        <f>'Part V-Revenues &amp; Expenses'!E18</f>
        <v>18</v>
      </c>
      <c r="C39" s="1488" t="str">
        <f>_xlfn.CONCAT('Part V-Revenues &amp; Expenses'!C18," / ",'Part V-Revenues &amp; Expenses'!D18)</f>
        <v>1 / 1</v>
      </c>
      <c r="D39" s="1487">
        <f>'Part V-Revenues &amp; Expenses'!F18</f>
        <v>811</v>
      </c>
      <c r="E39" s="4773">
        <f>'Part V-Revenues &amp; Expenses'!H18</f>
        <v>1003</v>
      </c>
      <c r="F39" s="4774"/>
      <c r="G39" s="438"/>
      <c r="H39" s="4743"/>
      <c r="I39" s="4744"/>
      <c r="J39" s="4744"/>
      <c r="K39" s="4744"/>
      <c r="L39" s="4745"/>
    </row>
    <row r="40" spans="1:12" s="431" customFormat="1" ht="13.15" customHeight="1">
      <c r="A40" s="1489">
        <f>'Part V-Revenues &amp; Expenses'!B19</f>
        <v>60</v>
      </c>
      <c r="B40" s="1490">
        <f>'Part V-Revenues &amp; Expenses'!E19</f>
        <v>14</v>
      </c>
      <c r="C40" s="1491" t="str">
        <f>_xlfn.CONCAT('Part V-Revenues &amp; Expenses'!C19," / ",'Part V-Revenues &amp; Expenses'!D19)</f>
        <v>1 / 1</v>
      </c>
      <c r="D40" s="1490">
        <f>'Part V-Revenues &amp; Expenses'!F19</f>
        <v>811</v>
      </c>
      <c r="E40" s="4741">
        <f>'Part V-Revenues &amp; Expenses'!H19</f>
        <v>1168</v>
      </c>
      <c r="F40" s="4742"/>
      <c r="G40" s="438"/>
      <c r="H40" s="4738"/>
      <c r="I40" s="4739"/>
      <c r="J40" s="4739"/>
      <c r="K40" s="4739"/>
      <c r="L40" s="4740"/>
    </row>
    <row r="41" spans="1:12" s="431" customFormat="1" ht="13.15" customHeight="1">
      <c r="A41" s="1489">
        <f>'Part V-Revenues &amp; Expenses'!B20</f>
        <v>80</v>
      </c>
      <c r="B41" s="1490">
        <f>'Part V-Revenues &amp; Expenses'!E20</f>
        <v>5</v>
      </c>
      <c r="C41" s="1491" t="str">
        <f>_xlfn.CONCAT('Part V-Revenues &amp; Expenses'!C20," / ",'Part V-Revenues &amp; Expenses'!D20)</f>
        <v>1 / 1</v>
      </c>
      <c r="D41" s="1490">
        <f>'Part V-Revenues &amp; Expenses'!F20</f>
        <v>811</v>
      </c>
      <c r="E41" s="4741">
        <f>'Part V-Revenues &amp; Expenses'!H20</f>
        <v>1298</v>
      </c>
      <c r="F41" s="4742"/>
      <c r="G41" s="438"/>
      <c r="H41" s="4738"/>
      <c r="I41" s="4739"/>
      <c r="J41" s="4739"/>
      <c r="K41" s="4739"/>
      <c r="L41" s="4740"/>
    </row>
    <row r="42" spans="1:12" s="431" customFormat="1" ht="13.15" customHeight="1">
      <c r="A42" s="1489">
        <f>'Part V-Revenues &amp; Expenses'!B21</f>
        <v>0</v>
      </c>
      <c r="B42" s="1490">
        <f>'Part V-Revenues &amp; Expenses'!E21</f>
        <v>0</v>
      </c>
      <c r="C42" s="1491" t="str">
        <f>_xlfn.CONCAT('Part V-Revenues &amp; Expenses'!C21," / ",'Part V-Revenues &amp; Expenses'!D21)</f>
        <v xml:space="preserve"> / </v>
      </c>
      <c r="D42" s="1490">
        <f>'Part V-Revenues &amp; Expenses'!F21</f>
        <v>0</v>
      </c>
      <c r="E42" s="4741">
        <f>'Part V-Revenues &amp; Expenses'!H21</f>
        <v>0</v>
      </c>
      <c r="F42" s="4742"/>
      <c r="G42" s="438"/>
      <c r="H42" s="4738"/>
      <c r="I42" s="4739"/>
      <c r="J42" s="4739"/>
      <c r="K42" s="4739"/>
      <c r="L42" s="4740"/>
    </row>
    <row r="43" spans="1:12" s="431" customFormat="1" ht="13.15" customHeight="1">
      <c r="A43" s="1489">
        <f>'Part V-Revenues &amp; Expenses'!B22</f>
        <v>50</v>
      </c>
      <c r="B43" s="1490">
        <f>'Part V-Revenues &amp; Expenses'!E22</f>
        <v>4</v>
      </c>
      <c r="C43" s="1491" t="str">
        <f>_xlfn.CONCAT('Part V-Revenues &amp; Expenses'!C22," / ",'Part V-Revenues &amp; Expenses'!D22)</f>
        <v>2 / 1</v>
      </c>
      <c r="D43" s="1490">
        <f>'Part V-Revenues &amp; Expenses'!F22</f>
        <v>915</v>
      </c>
      <c r="E43" s="4741">
        <f>'Part V-Revenues &amp; Expenses'!H22</f>
        <v>1203</v>
      </c>
      <c r="F43" s="4742"/>
      <c r="G43" s="438"/>
      <c r="H43" s="4738"/>
      <c r="I43" s="4739"/>
      <c r="J43" s="4739"/>
      <c r="K43" s="4739"/>
      <c r="L43" s="4740"/>
    </row>
    <row r="44" spans="1:12" s="431" customFormat="1" ht="13.15" customHeight="1">
      <c r="A44" s="1489">
        <f>'Part V-Revenues &amp; Expenses'!B23</f>
        <v>60</v>
      </c>
      <c r="B44" s="1490">
        <f>'Part V-Revenues &amp; Expenses'!E23</f>
        <v>3</v>
      </c>
      <c r="C44" s="1491" t="str">
        <f>_xlfn.CONCAT('Part V-Revenues &amp; Expenses'!C23," / ",'Part V-Revenues &amp; Expenses'!D23)</f>
        <v>2 / 1</v>
      </c>
      <c r="D44" s="1490">
        <f>'Part V-Revenues &amp; Expenses'!F23</f>
        <v>915</v>
      </c>
      <c r="E44" s="4741">
        <f>'Part V-Revenues &amp; Expenses'!H23</f>
        <v>1403</v>
      </c>
      <c r="F44" s="4742"/>
      <c r="G44" s="438"/>
      <c r="H44" s="4738"/>
      <c r="I44" s="4739"/>
      <c r="J44" s="4739"/>
      <c r="K44" s="4739"/>
      <c r="L44" s="4740"/>
    </row>
    <row r="45" spans="1:12" s="431" customFormat="1" ht="13.15" customHeight="1">
      <c r="A45" s="1489">
        <f>'Part V-Revenues &amp; Expenses'!B24</f>
        <v>80</v>
      </c>
      <c r="B45" s="1490">
        <f>'Part V-Revenues &amp; Expenses'!E24</f>
        <v>1</v>
      </c>
      <c r="C45" s="1491" t="str">
        <f>_xlfn.CONCAT('Part V-Revenues &amp; Expenses'!C24," / ",'Part V-Revenues &amp; Expenses'!D24)</f>
        <v>2 / 1</v>
      </c>
      <c r="D45" s="1490">
        <f>'Part V-Revenues &amp; Expenses'!F24</f>
        <v>915</v>
      </c>
      <c r="E45" s="4741">
        <f>'Part V-Revenues &amp; Expenses'!H24</f>
        <v>1538</v>
      </c>
      <c r="F45" s="4742"/>
      <c r="G45" s="438"/>
      <c r="H45" s="4738"/>
      <c r="I45" s="4739"/>
      <c r="J45" s="4739"/>
      <c r="K45" s="4739"/>
      <c r="L45" s="4740"/>
    </row>
    <row r="46" spans="1:12" s="431" customFormat="1" ht="13.1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1">
        <f>'Part V-Revenues &amp; Expenses'!H25</f>
        <v>0</v>
      </c>
      <c r="F46" s="4742"/>
      <c r="G46" s="438"/>
      <c r="H46" s="4738"/>
      <c r="I46" s="4739"/>
      <c r="J46" s="4739"/>
      <c r="K46" s="4739"/>
      <c r="L46" s="4740"/>
    </row>
    <row r="47" spans="1:12" s="431" customFormat="1" ht="13.15" customHeight="1">
      <c r="A47" s="1489">
        <f>'Part V-Revenues &amp; Expenses'!B26</f>
        <v>50</v>
      </c>
      <c r="B47" s="1490">
        <f>'Part V-Revenues &amp; Expenses'!E26</f>
        <v>3</v>
      </c>
      <c r="C47" s="1491" t="str">
        <f>_xlfn.CONCAT('Part V-Revenues &amp; Expenses'!C26," / ",'Part V-Revenues &amp; Expenses'!D26)</f>
        <v>3 / 2</v>
      </c>
      <c r="D47" s="1490">
        <f>'Part V-Revenues &amp; Expenses'!F26</f>
        <v>1179</v>
      </c>
      <c r="E47" s="4741">
        <f>'Part V-Revenues &amp; Expenses'!H26</f>
        <v>1389</v>
      </c>
      <c r="F47" s="4742"/>
      <c r="G47" s="438"/>
      <c r="H47" s="4738"/>
      <c r="I47" s="4739"/>
      <c r="J47" s="4739"/>
      <c r="K47" s="4739"/>
      <c r="L47" s="4740"/>
    </row>
    <row r="48" spans="1:12" s="431" customFormat="1" ht="13.15" customHeight="1">
      <c r="A48" s="1489">
        <f>'Part V-Revenues &amp; Expenses'!B27</f>
        <v>60</v>
      </c>
      <c r="B48" s="1490">
        <f>'Part V-Revenues &amp; Expenses'!E27</f>
        <v>1</v>
      </c>
      <c r="C48" s="1491" t="str">
        <f>_xlfn.CONCAT('Part V-Revenues &amp; Expenses'!C27," / ",'Part V-Revenues &amp; Expenses'!D27)</f>
        <v>3 / 2</v>
      </c>
      <c r="D48" s="1490">
        <f>'Part V-Revenues &amp; Expenses'!F27</f>
        <v>1179</v>
      </c>
      <c r="E48" s="4741">
        <f>'Part V-Revenues &amp; Expenses'!H27</f>
        <v>1619</v>
      </c>
      <c r="F48" s="4742"/>
      <c r="G48" s="438"/>
      <c r="H48" s="4738"/>
      <c r="I48" s="4739"/>
      <c r="J48" s="4739"/>
      <c r="K48" s="4739"/>
      <c r="L48" s="4740"/>
    </row>
    <row r="49" spans="1:13" s="431" customFormat="1" ht="13.15" customHeight="1">
      <c r="A49" s="1489">
        <f>'Part V-Revenues &amp; Expenses'!B28</f>
        <v>80</v>
      </c>
      <c r="B49" s="1490">
        <f>'Part V-Revenues &amp; Expenses'!E28</f>
        <v>1</v>
      </c>
      <c r="C49" s="1491" t="str">
        <f>_xlfn.CONCAT('Part V-Revenues &amp; Expenses'!C28," / ",'Part V-Revenues &amp; Expenses'!D28)</f>
        <v>3 / 2</v>
      </c>
      <c r="D49" s="1490">
        <f>'Part V-Revenues &amp; Expenses'!F28</f>
        <v>1179</v>
      </c>
      <c r="E49" s="4741">
        <f>'Part V-Revenues &amp; Expenses'!H28</f>
        <v>1744</v>
      </c>
      <c r="F49" s="4742"/>
      <c r="G49" s="438"/>
      <c r="H49" s="4738"/>
      <c r="I49" s="4739"/>
      <c r="J49" s="4739"/>
      <c r="K49" s="4739"/>
      <c r="L49" s="4740"/>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1">
        <f>'Part V-Revenues &amp; Expenses'!H29</f>
        <v>0</v>
      </c>
      <c r="F50" s="4742"/>
      <c r="G50" s="438"/>
      <c r="H50" s="4738"/>
      <c r="I50" s="4739"/>
      <c r="J50" s="4739"/>
      <c r="K50" s="4739"/>
      <c r="L50" s="4740"/>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1">
        <f>'Part V-Revenues &amp; Expenses'!H30</f>
        <v>0</v>
      </c>
      <c r="F51" s="4742"/>
      <c r="G51" s="438"/>
      <c r="H51" s="4738"/>
      <c r="I51" s="4739"/>
      <c r="J51" s="4739"/>
      <c r="K51" s="4739"/>
      <c r="L51" s="4740"/>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1">
        <f>'Part V-Revenues &amp; Expenses'!H31</f>
        <v>0</v>
      </c>
      <c r="F52" s="4742"/>
      <c r="G52" s="438"/>
      <c r="H52" s="4738"/>
      <c r="I52" s="4739"/>
      <c r="J52" s="4739"/>
      <c r="K52" s="4739"/>
      <c r="L52" s="4740"/>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1">
        <f>'Part V-Revenues &amp; Expenses'!H32</f>
        <v>0</v>
      </c>
      <c r="F53" s="4742"/>
      <c r="G53" s="438"/>
      <c r="H53" s="4738"/>
      <c r="I53" s="4739"/>
      <c r="J53" s="4739"/>
      <c r="K53" s="4739"/>
      <c r="L53" s="4740"/>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1">
        <f>'Part V-Revenues &amp; Expenses'!H33</f>
        <v>0</v>
      </c>
      <c r="F54" s="4742"/>
      <c r="G54" s="438"/>
      <c r="H54" s="4738"/>
      <c r="I54" s="4739"/>
      <c r="J54" s="4739"/>
      <c r="K54" s="4739"/>
      <c r="L54" s="4740"/>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1">
        <f>'Part V-Revenues &amp; Expenses'!H34</f>
        <v>0</v>
      </c>
      <c r="F55" s="4742"/>
      <c r="G55" s="438"/>
      <c r="H55" s="4738"/>
      <c r="I55" s="4739"/>
      <c r="J55" s="4739"/>
      <c r="K55" s="4739"/>
      <c r="L55" s="4740"/>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1">
        <f>'Part V-Revenues &amp; Expenses'!H35</f>
        <v>0</v>
      </c>
      <c r="F56" s="4742"/>
      <c r="G56" s="438"/>
      <c r="H56" s="4738"/>
      <c r="I56" s="4739"/>
      <c r="J56" s="4739"/>
      <c r="K56" s="4739"/>
      <c r="L56" s="4740"/>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1">
        <f>'Part V-Revenues &amp; Expenses'!H36</f>
        <v>0</v>
      </c>
      <c r="F57" s="4742"/>
      <c r="G57" s="438"/>
      <c r="H57" s="4738"/>
      <c r="I57" s="4739"/>
      <c r="J57" s="4739"/>
      <c r="K57" s="4739"/>
      <c r="L57" s="4740"/>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1">
        <f>'Part V-Revenues &amp; Expenses'!H37</f>
        <v>0</v>
      </c>
      <c r="F58" s="4742"/>
      <c r="G58" s="438"/>
      <c r="H58" s="4738"/>
      <c r="I58" s="4739"/>
      <c r="J58" s="4739"/>
      <c r="K58" s="4739"/>
      <c r="L58" s="4740"/>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1">
        <f>'Part V-Revenues &amp; Expenses'!H38</f>
        <v>0</v>
      </c>
      <c r="F59" s="4742"/>
      <c r="G59" s="438"/>
      <c r="H59" s="4738"/>
      <c r="I59" s="4739"/>
      <c r="J59" s="4739"/>
      <c r="K59" s="4739"/>
      <c r="L59" s="4740"/>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1">
        <f>'Part V-Revenues &amp; Expenses'!H39</f>
        <v>0</v>
      </c>
      <c r="F60" s="4742"/>
      <c r="G60" s="438"/>
      <c r="H60" s="4738"/>
      <c r="I60" s="4739"/>
      <c r="J60" s="4739"/>
      <c r="K60" s="4739"/>
      <c r="L60" s="4740"/>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1">
        <f>'Part V-Revenues &amp; Expenses'!H40</f>
        <v>0</v>
      </c>
      <c r="F61" s="4742"/>
      <c r="G61" s="438"/>
      <c r="H61" s="4738"/>
      <c r="I61" s="4739"/>
      <c r="J61" s="4739"/>
      <c r="K61" s="4739"/>
      <c r="L61" s="4740"/>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1">
        <f>'Part V-Revenues &amp; Expenses'!H41</f>
        <v>0</v>
      </c>
      <c r="F62" s="4742"/>
      <c r="G62" s="438"/>
      <c r="H62" s="4738"/>
      <c r="I62" s="4739"/>
      <c r="J62" s="4739"/>
      <c r="K62" s="4739"/>
      <c r="L62" s="4740"/>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1">
        <f>'Part V-Revenues &amp; Expenses'!H42</f>
        <v>0</v>
      </c>
      <c r="F63" s="4742"/>
      <c r="G63" s="438"/>
      <c r="H63" s="4738"/>
      <c r="I63" s="4739"/>
      <c r="J63" s="4739"/>
      <c r="K63" s="4739"/>
      <c r="L63" s="4740"/>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1">
        <f>'Part V-Revenues &amp; Expenses'!H43</f>
        <v>0</v>
      </c>
      <c r="F64" s="4742"/>
      <c r="G64" s="438"/>
      <c r="H64" s="4738"/>
      <c r="I64" s="4739"/>
      <c r="J64" s="4739"/>
      <c r="K64" s="4739"/>
      <c r="L64" s="4740"/>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1">
        <f>'Part V-Revenues &amp; Expenses'!H44</f>
        <v>0</v>
      </c>
      <c r="F65" s="4742"/>
      <c r="G65" s="438"/>
      <c r="H65" s="4738"/>
      <c r="I65" s="4739"/>
      <c r="J65" s="4739"/>
      <c r="K65" s="4739"/>
      <c r="L65" s="4740"/>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1">
        <f>'Part V-Revenues &amp; Expenses'!H45</f>
        <v>0</v>
      </c>
      <c r="F66" s="4742"/>
      <c r="G66" s="438"/>
      <c r="H66" s="4738"/>
      <c r="I66" s="4739"/>
      <c r="J66" s="4739"/>
      <c r="K66" s="4739"/>
      <c r="L66" s="4740"/>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1">
        <f>'Part V-Revenues &amp; Expenses'!H46</f>
        <v>0</v>
      </c>
      <c r="F67" s="4742"/>
      <c r="G67" s="438"/>
      <c r="H67" s="4738"/>
      <c r="I67" s="4739"/>
      <c r="J67" s="4739"/>
      <c r="K67" s="4739"/>
      <c r="L67" s="4740"/>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1">
        <f>'Part V-Revenues &amp; Expenses'!H47</f>
        <v>0</v>
      </c>
      <c r="F68" s="4742"/>
      <c r="G68" s="438"/>
      <c r="H68" s="4738"/>
      <c r="I68" s="4739"/>
      <c r="J68" s="4739"/>
      <c r="K68" s="4739"/>
      <c r="L68" s="4740"/>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1">
        <f>'Part V-Revenues &amp; Expenses'!H48</f>
        <v>0</v>
      </c>
      <c r="F69" s="4772"/>
      <c r="G69" s="1495"/>
      <c r="H69" s="4746"/>
      <c r="I69" s="4747"/>
      <c r="J69" s="4747"/>
      <c r="K69" s="4747"/>
      <c r="L69" s="4748"/>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2" t="s">
        <v>673</v>
      </c>
      <c r="B2" s="4833"/>
      <c r="C2" s="4833"/>
      <c r="D2" s="4833"/>
      <c r="E2" s="4833"/>
      <c r="F2" s="4833"/>
      <c r="G2" s="4833"/>
      <c r="H2" s="4833"/>
      <c r="I2" s="4833"/>
      <c r="J2" s="4833"/>
      <c r="K2" s="4833"/>
      <c r="L2" s="4833"/>
      <c r="M2" s="4833"/>
      <c r="N2" s="4833"/>
      <c r="O2" s="4833"/>
      <c r="P2" s="4833"/>
      <c r="Q2" s="4833"/>
      <c r="R2" s="483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4765</v>
      </c>
      <c r="B7" s="225"/>
      <c r="C7" s="147"/>
      <c r="D7" s="147"/>
      <c r="E7" s="144"/>
      <c r="F7" s="147" t="s">
        <v>4766</v>
      </c>
      <c r="G7" s="147"/>
      <c r="H7" s="144"/>
      <c r="I7" s="144"/>
      <c r="J7" s="147" t="s">
        <v>4767</v>
      </c>
      <c r="K7" s="147"/>
      <c r="L7" s="147" t="s">
        <v>4768</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4764</v>
      </c>
      <c r="B9" s="147"/>
      <c r="C9" s="147"/>
      <c r="D9" s="144"/>
      <c r="E9" s="144"/>
      <c r="F9" s="147" t="s">
        <v>4766</v>
      </c>
      <c r="G9" s="147"/>
      <c r="H9" s="144"/>
      <c r="I9" s="144"/>
      <c r="J9" s="147" t="s">
        <v>4769</v>
      </c>
      <c r="K9" s="147"/>
      <c r="L9" s="147" t="s">
        <v>4777</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4770</v>
      </c>
      <c r="K10" s="147"/>
      <c r="L10" s="147" t="s">
        <v>4777</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4776</v>
      </c>
      <c r="R12" s="2083" t="s">
        <v>4775</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4143</v>
      </c>
      <c r="K13" s="147"/>
      <c r="L13" s="147" t="s">
        <v>4763</v>
      </c>
      <c r="M13" s="147"/>
      <c r="N13" s="147" t="s">
        <v>4771</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4772</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4773</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4774</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4778</v>
      </c>
      <c r="K18" s="147"/>
      <c r="L18" s="147" t="s">
        <v>4780</v>
      </c>
      <c r="M18" s="147"/>
      <c r="N18" s="147"/>
      <c r="O18" s="147"/>
      <c r="P18" s="147"/>
      <c r="Q18" s="2057" t="s">
        <v>4779</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4785</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4786</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3075</v>
      </c>
      <c r="G24" s="147"/>
      <c r="H24" s="144"/>
      <c r="I24" s="144"/>
      <c r="J24" s="441" t="s">
        <v>3076</v>
      </c>
      <c r="K24" s="234"/>
      <c r="M24" s="234"/>
      <c r="N24" s="234"/>
      <c r="O24" s="147"/>
      <c r="Q24" s="4835" t="s">
        <v>4512</v>
      </c>
      <c r="R24" s="4836"/>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3058</v>
      </c>
      <c r="K25" s="234"/>
      <c r="M25" s="234"/>
      <c r="N25" s="234"/>
      <c r="O25" s="147"/>
      <c r="Q25" s="4837">
        <v>0.1</v>
      </c>
      <c r="R25" s="4838"/>
      <c r="S25" s="241"/>
      <c r="T25" s="144"/>
      <c r="U25" s="144"/>
      <c r="V25" s="321"/>
      <c r="W25" s="321"/>
      <c r="X25" s="321"/>
      <c r="AA25" s="68"/>
      <c r="AB25" s="68"/>
    </row>
    <row r="26" spans="1:28" s="145" customFormat="1" ht="12.75" hidden="1" customHeight="1">
      <c r="A26" s="147"/>
      <c r="B26" s="147"/>
      <c r="C26" s="147"/>
      <c r="J26" s="1773" t="s">
        <v>2458</v>
      </c>
      <c r="K26" s="236"/>
      <c r="L26" s="236"/>
      <c r="N26" s="234"/>
      <c r="O26" s="147"/>
      <c r="Q26" s="4839" t="s">
        <v>3782</v>
      </c>
      <c r="R26" s="4839"/>
      <c r="S26" s="144"/>
      <c r="T26" s="144"/>
      <c r="U26" s="144"/>
      <c r="AA26" s="68"/>
      <c r="AB26" s="68"/>
    </row>
    <row r="27" spans="1:28" s="145" customFormat="1" ht="12.75" hidden="1" customHeight="1">
      <c r="A27" s="147"/>
      <c r="B27" s="147"/>
      <c r="C27" s="147"/>
      <c r="K27" s="236" t="s">
        <v>3783</v>
      </c>
      <c r="L27" s="236"/>
      <c r="N27" s="234"/>
      <c r="O27" s="147"/>
      <c r="P27" s="144"/>
      <c r="Q27" s="4840">
        <v>0.2</v>
      </c>
      <c r="R27" s="4841"/>
      <c r="S27" s="144"/>
      <c r="T27" s="144"/>
      <c r="U27" s="144"/>
      <c r="AA27" s="68"/>
      <c r="AB27" s="68"/>
    </row>
    <row r="28" spans="1:28" s="145" customFormat="1" ht="12.75" hidden="1" customHeight="1">
      <c r="A28" s="147"/>
      <c r="B28" s="147"/>
      <c r="C28" s="147"/>
      <c r="K28" s="236" t="s">
        <v>3784</v>
      </c>
      <c r="L28" s="236"/>
      <c r="N28" s="234"/>
      <c r="O28" s="147"/>
      <c r="P28" s="144"/>
      <c r="Q28" s="4824">
        <v>0.15</v>
      </c>
      <c r="R28" s="4825"/>
      <c r="S28" s="144"/>
      <c r="T28" s="144"/>
      <c r="U28" s="144"/>
      <c r="AA28" s="68"/>
      <c r="AB28" s="68"/>
    </row>
    <row r="29" spans="1:28" s="145" customFormat="1" ht="12.75" hidden="1" customHeight="1">
      <c r="A29" s="147"/>
      <c r="B29" s="147"/>
      <c r="C29" s="147"/>
      <c r="K29" s="236" t="s">
        <v>3785</v>
      </c>
      <c r="L29" s="236"/>
      <c r="N29" s="234"/>
      <c r="O29" s="147"/>
      <c r="P29" s="144"/>
      <c r="Q29" s="4824">
        <v>0.15</v>
      </c>
      <c r="R29" s="4825"/>
      <c r="S29" s="144"/>
      <c r="T29" s="144"/>
      <c r="U29" s="144"/>
      <c r="AA29" s="68"/>
      <c r="AB29" s="68"/>
    </row>
    <row r="30" spans="1:28" s="145" customFormat="1" ht="12.75" hidden="1" customHeight="1">
      <c r="A30" s="147"/>
      <c r="B30" s="147"/>
      <c r="C30" s="147"/>
      <c r="K30" s="236" t="s">
        <v>3786</v>
      </c>
      <c r="L30" s="236"/>
      <c r="N30" s="234"/>
      <c r="O30" s="147"/>
      <c r="P30" s="144"/>
      <c r="Q30" s="4824">
        <v>0.1</v>
      </c>
      <c r="R30" s="4825"/>
      <c r="S30" s="144"/>
      <c r="T30" s="144"/>
      <c r="U30" s="144"/>
      <c r="AA30" s="68"/>
      <c r="AB30" s="68"/>
    </row>
    <row r="31" spans="1:28" s="145" customFormat="1" ht="12.75" hidden="1" customHeight="1">
      <c r="A31" s="147"/>
      <c r="B31" s="147"/>
      <c r="C31" s="147"/>
      <c r="K31" s="236" t="s">
        <v>3787</v>
      </c>
      <c r="L31" s="236"/>
      <c r="N31" s="234"/>
      <c r="O31" s="147"/>
      <c r="P31" s="144"/>
      <c r="Q31" s="4826">
        <v>0.1</v>
      </c>
      <c r="R31" s="4827"/>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3098</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3097</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3230</v>
      </c>
      <c r="H40" s="144"/>
      <c r="I40" s="144"/>
      <c r="J40" s="147" t="s">
        <v>1430</v>
      </c>
      <c r="K40" s="147"/>
      <c r="L40" s="147"/>
      <c r="M40" s="147"/>
      <c r="N40" s="147"/>
      <c r="O40" s="147"/>
      <c r="P40" s="144"/>
      <c r="Q40" s="2076" t="s">
        <v>2844</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2971</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3205</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4003</v>
      </c>
      <c r="G48" s="147"/>
      <c r="H48" s="144"/>
      <c r="I48" s="144"/>
      <c r="J48" s="147" t="s">
        <v>4004</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3231</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3231</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4781</v>
      </c>
      <c r="G51" s="147"/>
      <c r="H51" s="144"/>
      <c r="I51" s="144"/>
      <c r="J51" s="147" t="s">
        <v>3231</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3232</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3232</v>
      </c>
      <c r="K53" s="147"/>
      <c r="L53" s="147"/>
      <c r="M53" s="147"/>
      <c r="N53" s="147"/>
      <c r="O53" s="147"/>
      <c r="P53" s="144"/>
      <c r="Q53" s="235" t="s">
        <v>1607</v>
      </c>
      <c r="R53" s="2070">
        <v>0.02</v>
      </c>
      <c r="S53" s="236"/>
      <c r="T53" s="236"/>
      <c r="U53" s="236"/>
      <c r="AA53" s="68"/>
      <c r="AB53" s="68"/>
    </row>
    <row r="54" spans="1:28" s="145" customFormat="1" ht="11.65" customHeight="1">
      <c r="A54" s="147"/>
      <c r="B54" s="147" t="s">
        <v>2503</v>
      </c>
      <c r="C54" s="147"/>
      <c r="D54" s="144"/>
      <c r="E54" s="144"/>
      <c r="F54" s="147" t="s">
        <v>1607</v>
      </c>
      <c r="G54" s="147"/>
      <c r="H54" s="144"/>
      <c r="I54" s="144"/>
      <c r="J54" s="147" t="s">
        <v>3232</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3199</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4871</v>
      </c>
      <c r="D57" s="147"/>
      <c r="E57" s="144"/>
      <c r="F57" s="236" t="s">
        <v>4875</v>
      </c>
      <c r="G57" s="147"/>
      <c r="H57" s="144"/>
      <c r="I57" s="144"/>
      <c r="K57" s="147"/>
      <c r="L57" s="147"/>
      <c r="M57" s="147"/>
      <c r="N57" s="147"/>
      <c r="O57" s="147"/>
      <c r="P57" s="144"/>
      <c r="Q57" s="4828">
        <v>2000</v>
      </c>
      <c r="R57" s="4829"/>
      <c r="S57" s="236"/>
      <c r="T57" s="236"/>
      <c r="U57" s="236"/>
      <c r="AA57" s="68"/>
      <c r="AB57" s="68"/>
    </row>
    <row r="58" spans="1:28" s="145" customFormat="1" ht="11.65" customHeight="1">
      <c r="A58" s="147"/>
      <c r="B58" s="147"/>
      <c r="C58" s="236" t="s">
        <v>4872</v>
      </c>
      <c r="D58" s="147"/>
      <c r="E58" s="144"/>
      <c r="F58" s="147" t="s">
        <v>4873</v>
      </c>
      <c r="G58" s="147"/>
      <c r="H58" s="144"/>
      <c r="I58" s="144"/>
      <c r="J58" s="147" t="s">
        <v>4876</v>
      </c>
      <c r="K58" s="147"/>
      <c r="L58" s="147"/>
      <c r="M58" s="147" t="s">
        <v>1125</v>
      </c>
      <c r="N58" s="147"/>
      <c r="O58" s="147"/>
      <c r="P58" s="144"/>
      <c r="Q58" s="4830">
        <v>10000</v>
      </c>
      <c r="R58" s="4831"/>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22">
        <v>8000</v>
      </c>
      <c r="R59" s="4823"/>
      <c r="S59" s="236"/>
      <c r="T59" s="236"/>
      <c r="U59" s="236"/>
      <c r="AA59" s="68"/>
      <c r="AB59" s="68"/>
    </row>
    <row r="60" spans="1:28" s="145" customFormat="1" ht="11.65" customHeight="1">
      <c r="A60" s="147"/>
      <c r="B60" s="147"/>
      <c r="C60" s="147"/>
      <c r="D60" s="147"/>
      <c r="E60" s="144"/>
      <c r="G60" s="147"/>
      <c r="H60" s="144"/>
      <c r="I60" s="144"/>
      <c r="J60" s="236" t="s">
        <v>4874</v>
      </c>
      <c r="K60" s="147"/>
      <c r="L60" s="147"/>
      <c r="M60" s="147" t="s">
        <v>1125</v>
      </c>
      <c r="N60" s="147"/>
      <c r="O60" s="147"/>
      <c r="P60" s="144"/>
      <c r="Q60" s="4822">
        <v>10000</v>
      </c>
      <c r="R60" s="4823"/>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05">
        <v>8000</v>
      </c>
      <c r="R61" s="4806"/>
      <c r="S61" s="236"/>
      <c r="T61" s="236"/>
      <c r="U61" s="236"/>
      <c r="AA61" s="68"/>
      <c r="AB61" s="68"/>
    </row>
    <row r="62" spans="1:28" s="145" customFormat="1" ht="11.65" customHeight="1">
      <c r="A62" s="147"/>
      <c r="B62" s="147"/>
      <c r="C62" s="147" t="s">
        <v>4877</v>
      </c>
      <c r="D62" s="147"/>
      <c r="E62" s="144"/>
      <c r="F62" s="147" t="s">
        <v>3235</v>
      </c>
      <c r="G62" s="147"/>
      <c r="H62" s="144"/>
      <c r="I62" s="144"/>
      <c r="K62" s="147"/>
      <c r="L62" s="147"/>
      <c r="M62" s="147"/>
      <c r="N62" s="147"/>
      <c r="O62" s="147"/>
      <c r="P62" s="144"/>
      <c r="Q62" s="4830">
        <v>2500</v>
      </c>
      <c r="R62" s="4831"/>
      <c r="S62" s="236"/>
      <c r="T62" s="236"/>
      <c r="U62" s="236"/>
      <c r="AA62" s="68"/>
      <c r="AB62" s="68"/>
    </row>
    <row r="63" spans="1:28" s="145" customFormat="1" ht="11.65" customHeight="1">
      <c r="A63" s="147"/>
      <c r="B63" s="147"/>
      <c r="C63" s="147"/>
      <c r="D63" s="147"/>
      <c r="E63" s="144"/>
      <c r="F63" s="147" t="s">
        <v>3234</v>
      </c>
      <c r="G63" s="147"/>
      <c r="H63" s="144"/>
      <c r="I63" s="144"/>
      <c r="K63" s="147"/>
      <c r="L63" s="147"/>
      <c r="M63" s="147"/>
      <c r="N63" s="147"/>
      <c r="O63" s="147"/>
      <c r="P63" s="144"/>
      <c r="Q63" s="4822">
        <v>2500</v>
      </c>
      <c r="R63" s="4823"/>
      <c r="S63" s="236"/>
      <c r="T63" s="236"/>
      <c r="U63" s="236"/>
      <c r="AA63" s="68"/>
      <c r="AB63" s="68"/>
    </row>
    <row r="64" spans="1:28" s="145" customFormat="1" ht="11.65" customHeight="1">
      <c r="A64" s="147"/>
      <c r="B64" s="147"/>
      <c r="C64" s="147"/>
      <c r="D64" s="147"/>
      <c r="E64" s="144"/>
      <c r="F64" s="236" t="s">
        <v>4878</v>
      </c>
      <c r="G64" s="147"/>
      <c r="H64" s="144"/>
      <c r="I64" s="144"/>
      <c r="Q64" s="4822">
        <v>1500</v>
      </c>
      <c r="R64" s="4823"/>
      <c r="S64" s="236"/>
      <c r="T64" s="236"/>
      <c r="U64" s="236"/>
      <c r="AA64" s="68"/>
      <c r="AB64" s="68"/>
    </row>
    <row r="65" spans="1:28" s="145" customFormat="1" ht="11.65" customHeight="1">
      <c r="A65" s="144"/>
      <c r="B65" s="236"/>
      <c r="C65" s="147"/>
      <c r="D65" s="147"/>
      <c r="E65" s="144"/>
      <c r="F65" s="147" t="s">
        <v>4879</v>
      </c>
      <c r="G65" s="147"/>
      <c r="H65" s="144"/>
      <c r="I65" s="144"/>
      <c r="J65" s="147" t="s">
        <v>4880</v>
      </c>
      <c r="K65" s="147"/>
      <c r="L65" s="147"/>
      <c r="M65" s="147"/>
      <c r="N65" s="147"/>
      <c r="O65" s="147"/>
      <c r="P65" s="144"/>
      <c r="Q65" s="4822">
        <v>15000</v>
      </c>
      <c r="R65" s="4823"/>
      <c r="S65" s="236"/>
      <c r="T65" s="236"/>
      <c r="U65" s="236"/>
      <c r="AA65" s="68"/>
      <c r="AB65" s="68"/>
    </row>
    <row r="66" spans="1:28" s="145" customFormat="1" ht="11.65" customHeight="1">
      <c r="A66" s="147"/>
      <c r="B66" s="147"/>
      <c r="C66" s="147"/>
      <c r="D66" s="147"/>
      <c r="E66" s="144"/>
      <c r="F66" s="147" t="s">
        <v>3236</v>
      </c>
      <c r="G66" s="147"/>
      <c r="H66" s="144"/>
      <c r="I66" s="144"/>
      <c r="K66" s="147"/>
      <c r="L66" s="147"/>
      <c r="M66" s="147"/>
      <c r="N66" s="147"/>
      <c r="O66" s="147"/>
      <c r="P66" s="144"/>
      <c r="Q66" s="4814">
        <v>1500</v>
      </c>
      <c r="R66" s="4815"/>
      <c r="S66" s="236"/>
      <c r="T66" s="236"/>
      <c r="U66" s="236"/>
      <c r="AA66" s="68"/>
      <c r="AB66" s="68"/>
    </row>
    <row r="67" spans="1:28" s="145" customFormat="1" ht="11.65" customHeight="1">
      <c r="A67" s="144"/>
      <c r="B67" s="236"/>
      <c r="C67" s="147"/>
      <c r="D67" s="147"/>
      <c r="E67" s="144"/>
      <c r="F67" s="147" t="s">
        <v>4881</v>
      </c>
      <c r="G67" s="147"/>
      <c r="H67" s="144"/>
      <c r="I67" s="144"/>
      <c r="J67" s="147"/>
      <c r="K67" s="147"/>
      <c r="L67" s="147"/>
      <c r="M67" s="147"/>
      <c r="N67" s="147"/>
      <c r="O67" s="147"/>
      <c r="P67" s="144"/>
      <c r="Q67" s="4816" t="s">
        <v>4883</v>
      </c>
      <c r="R67" s="4817"/>
      <c r="S67" s="236"/>
      <c r="T67" s="236"/>
      <c r="U67" s="236"/>
      <c r="AA67" s="68"/>
      <c r="AB67" s="68"/>
    </row>
    <row r="68" spans="1:28" s="145" customFormat="1" ht="11.65" customHeight="1">
      <c r="A68" s="144"/>
      <c r="B68" s="236"/>
      <c r="C68" s="147"/>
      <c r="D68" s="147"/>
      <c r="E68" s="144"/>
      <c r="F68" s="147" t="s">
        <v>4882</v>
      </c>
      <c r="G68" s="147"/>
      <c r="H68" s="144"/>
      <c r="I68" s="144"/>
      <c r="J68" s="147"/>
      <c r="K68" s="147"/>
      <c r="L68" s="147"/>
      <c r="M68" s="147"/>
      <c r="N68" s="147"/>
      <c r="O68" s="147"/>
      <c r="P68" s="144"/>
      <c r="Q68" s="4818" t="s">
        <v>4883</v>
      </c>
      <c r="R68" s="4819"/>
      <c r="S68" s="236"/>
      <c r="T68" s="236"/>
      <c r="U68" s="236"/>
      <c r="AA68" s="68"/>
      <c r="AB68" s="68"/>
    </row>
    <row r="69" spans="1:28" s="145" customFormat="1" ht="11.65" customHeight="1">
      <c r="A69" s="147"/>
      <c r="B69" s="147"/>
      <c r="D69" s="147"/>
      <c r="E69" s="144"/>
      <c r="F69" s="147" t="s">
        <v>3233</v>
      </c>
      <c r="G69" s="147"/>
      <c r="H69" s="144"/>
      <c r="I69" s="144"/>
      <c r="J69" s="147"/>
      <c r="K69" s="147"/>
      <c r="L69" s="147"/>
      <c r="M69" s="147"/>
      <c r="N69" s="147"/>
      <c r="O69" s="147"/>
      <c r="P69" s="144"/>
      <c r="Q69" s="4820">
        <v>1500</v>
      </c>
      <c r="R69" s="4821"/>
      <c r="S69" s="236"/>
      <c r="T69" s="236"/>
      <c r="U69" s="236"/>
      <c r="AA69" s="68"/>
      <c r="AB69" s="68"/>
    </row>
    <row r="70" spans="1:28" s="145" customFormat="1" ht="11.65" customHeight="1">
      <c r="A70" s="147"/>
      <c r="C70" s="147" t="s">
        <v>4884</v>
      </c>
      <c r="D70" s="144"/>
      <c r="E70" s="144"/>
      <c r="F70" s="147" t="s">
        <v>4647</v>
      </c>
      <c r="H70" s="147"/>
      <c r="I70" s="144"/>
      <c r="J70" s="147" t="s">
        <v>888</v>
      </c>
      <c r="K70" s="147"/>
      <c r="L70" s="147"/>
      <c r="M70" s="147"/>
      <c r="N70" s="147"/>
      <c r="O70" s="147"/>
      <c r="P70" s="144"/>
      <c r="Q70" s="4790">
        <v>0.08</v>
      </c>
      <c r="R70" s="4790"/>
      <c r="S70" s="236"/>
      <c r="T70" s="236"/>
      <c r="U70" s="236"/>
      <c r="AA70" s="68"/>
      <c r="AB70" s="68"/>
    </row>
    <row r="71" spans="1:28" s="145" customFormat="1" ht="11.65" customHeight="1">
      <c r="A71" s="147"/>
      <c r="C71" s="147"/>
      <c r="D71" s="144"/>
      <c r="E71" s="144"/>
      <c r="F71" s="147" t="s">
        <v>4002</v>
      </c>
      <c r="H71" s="147"/>
      <c r="I71" s="144"/>
      <c r="J71" s="147" t="s">
        <v>888</v>
      </c>
      <c r="K71" s="147"/>
      <c r="L71" s="147"/>
      <c r="M71" s="147"/>
      <c r="N71" s="147"/>
      <c r="O71" s="147"/>
      <c r="P71" s="144"/>
      <c r="Q71" s="4784">
        <v>0.08</v>
      </c>
      <c r="R71" s="4784"/>
      <c r="S71" s="236"/>
      <c r="T71" s="236"/>
      <c r="U71" s="236"/>
      <c r="AA71" s="68"/>
      <c r="AB71" s="68"/>
    </row>
    <row r="72" spans="1:28" s="145" customFormat="1" ht="11.65" customHeight="1">
      <c r="A72" s="147"/>
      <c r="C72" s="147"/>
      <c r="D72" s="144"/>
      <c r="E72" s="144"/>
      <c r="F72" s="147" t="s">
        <v>4885</v>
      </c>
      <c r="H72" s="147"/>
      <c r="I72" s="144"/>
      <c r="J72" s="147"/>
      <c r="K72" s="147"/>
      <c r="L72" s="147"/>
      <c r="M72" s="147"/>
      <c r="N72" s="147"/>
      <c r="O72" s="147"/>
      <c r="P72" s="144"/>
      <c r="Q72" s="4822">
        <v>2500</v>
      </c>
      <c r="R72" s="4823"/>
      <c r="S72" s="236"/>
      <c r="T72" s="236"/>
      <c r="U72" s="236"/>
      <c r="AA72" s="68"/>
      <c r="AB72" s="68"/>
    </row>
    <row r="73" spans="1:28" s="145" customFormat="1" ht="11.65" customHeight="1">
      <c r="A73" s="147"/>
      <c r="B73" s="147"/>
      <c r="C73" s="147"/>
      <c r="D73" s="144"/>
      <c r="E73" s="144"/>
      <c r="F73" s="147" t="s">
        <v>4648</v>
      </c>
      <c r="I73" s="144"/>
      <c r="J73" s="147" t="s">
        <v>1635</v>
      </c>
      <c r="K73" s="147"/>
      <c r="L73" s="147"/>
      <c r="M73" s="147"/>
      <c r="N73" s="147"/>
      <c r="O73" s="147"/>
      <c r="P73" s="144"/>
      <c r="Q73" s="4822">
        <v>8000</v>
      </c>
      <c r="R73" s="4823"/>
      <c r="S73" s="236"/>
      <c r="T73" s="236"/>
      <c r="U73" s="236"/>
      <c r="AA73" s="68"/>
      <c r="AB73" s="68"/>
    </row>
    <row r="74" spans="1:28" s="145" customFormat="1" ht="11.65" customHeight="1">
      <c r="A74" s="147"/>
      <c r="C74" s="147" t="s">
        <v>4649</v>
      </c>
      <c r="D74" s="144"/>
      <c r="E74" s="144"/>
      <c r="F74" s="147" t="s">
        <v>889</v>
      </c>
      <c r="H74" s="147" t="s">
        <v>1502</v>
      </c>
      <c r="I74" s="144"/>
      <c r="J74" s="147" t="s">
        <v>1430</v>
      </c>
      <c r="K74" s="147"/>
      <c r="L74" s="147"/>
      <c r="M74" s="147"/>
      <c r="N74" s="147"/>
      <c r="O74" s="147"/>
      <c r="P74" s="144"/>
      <c r="Q74" s="4822">
        <v>800</v>
      </c>
      <c r="R74" s="4823"/>
      <c r="S74" s="236"/>
      <c r="T74" s="236"/>
      <c r="U74" s="236"/>
      <c r="AA74" s="68"/>
      <c r="AB74" s="68"/>
    </row>
    <row r="75" spans="1:28" s="145" customFormat="1" ht="11.65" customHeight="1">
      <c r="A75" s="147"/>
      <c r="C75" s="147"/>
      <c r="D75" s="144"/>
      <c r="E75" s="144"/>
      <c r="F75" s="147"/>
      <c r="H75" s="147"/>
      <c r="I75" s="147" t="s">
        <v>3653</v>
      </c>
      <c r="J75" s="147" t="s">
        <v>1430</v>
      </c>
      <c r="K75" s="147"/>
      <c r="L75" s="147"/>
      <c r="M75" s="147"/>
      <c r="N75" s="147"/>
      <c r="O75" s="147"/>
      <c r="P75" s="144"/>
      <c r="Q75" s="4822">
        <v>1000</v>
      </c>
      <c r="R75" s="4823"/>
      <c r="S75" s="236"/>
      <c r="T75" s="236"/>
      <c r="U75" s="236"/>
      <c r="AA75" s="68"/>
      <c r="AB75" s="68"/>
    </row>
    <row r="76" spans="1:28" s="145" customFormat="1" ht="11.65" customHeight="1">
      <c r="A76" s="147"/>
      <c r="B76" s="147"/>
      <c r="C76" s="147"/>
      <c r="D76" s="144"/>
      <c r="E76" s="144"/>
      <c r="H76" s="147" t="s">
        <v>2440</v>
      </c>
      <c r="I76" s="144"/>
      <c r="J76" s="147" t="s">
        <v>1430</v>
      </c>
      <c r="K76" s="147" t="s">
        <v>3214</v>
      </c>
      <c r="L76" s="147"/>
      <c r="M76" s="147"/>
      <c r="N76" s="147"/>
      <c r="O76" s="147"/>
      <c r="P76" s="144"/>
      <c r="Q76" s="4812">
        <v>800</v>
      </c>
      <c r="R76" s="4813"/>
      <c r="S76" s="236"/>
      <c r="T76" s="236"/>
      <c r="U76" s="236"/>
      <c r="AA76" s="68"/>
      <c r="AB76" s="68"/>
    </row>
    <row r="77" spans="1:28" s="145" customFormat="1" ht="11.65" customHeight="1">
      <c r="A77" s="147"/>
      <c r="B77" s="147"/>
      <c r="C77" s="147"/>
      <c r="D77" s="144"/>
      <c r="E77" s="144"/>
      <c r="H77" s="147" t="s">
        <v>2506</v>
      </c>
      <c r="I77" s="144"/>
      <c r="J77" s="147" t="s">
        <v>2439</v>
      </c>
      <c r="K77" s="147"/>
      <c r="L77" s="147"/>
      <c r="M77" s="147"/>
      <c r="N77" s="147"/>
      <c r="O77" s="147"/>
      <c r="P77" s="144"/>
      <c r="Q77" s="4812">
        <v>1500</v>
      </c>
      <c r="R77" s="4813"/>
      <c r="S77" s="236"/>
      <c r="T77" s="236"/>
      <c r="U77" s="236"/>
      <c r="AA77" s="68"/>
      <c r="AB77" s="68"/>
    </row>
    <row r="78" spans="1:28" s="145" customFormat="1" ht="11.65" customHeight="1">
      <c r="A78" s="147"/>
      <c r="B78" s="147"/>
      <c r="C78" s="147"/>
      <c r="D78" s="147"/>
      <c r="E78" s="144"/>
      <c r="F78" s="147" t="s">
        <v>4886</v>
      </c>
      <c r="H78" s="144"/>
      <c r="I78" s="144"/>
      <c r="J78" s="147" t="s">
        <v>3652</v>
      </c>
      <c r="K78" s="147"/>
      <c r="L78" s="147"/>
      <c r="M78" s="147"/>
      <c r="N78" s="147"/>
      <c r="O78" s="147"/>
      <c r="P78" s="144"/>
      <c r="Q78" s="4805">
        <v>1500</v>
      </c>
      <c r="R78" s="4806"/>
      <c r="S78" s="236"/>
      <c r="T78" s="236"/>
      <c r="U78" s="236"/>
      <c r="AA78" s="68"/>
      <c r="AB78" s="68"/>
    </row>
    <row r="79" spans="1:28" s="145" customFormat="1" ht="11.65" customHeight="1">
      <c r="A79" s="147"/>
      <c r="B79" s="147"/>
      <c r="C79" s="147"/>
      <c r="D79" s="144"/>
      <c r="E79" s="144"/>
      <c r="F79" s="147" t="s">
        <v>3325</v>
      </c>
      <c r="I79" s="144"/>
      <c r="J79" s="147" t="s">
        <v>3654</v>
      </c>
      <c r="K79" s="147"/>
      <c r="L79" s="147"/>
      <c r="M79" s="147"/>
      <c r="N79" s="147"/>
      <c r="O79" s="147"/>
      <c r="P79" s="144"/>
      <c r="Q79" s="4807">
        <v>750</v>
      </c>
      <c r="R79" s="4808"/>
      <c r="S79" s="236"/>
      <c r="T79" s="236"/>
      <c r="U79" s="236"/>
      <c r="AA79" s="68"/>
      <c r="AB79" s="68"/>
    </row>
    <row r="80" spans="1:28" s="145" customFormat="1" ht="11.65" customHeight="1">
      <c r="A80" s="147"/>
      <c r="B80" s="147"/>
      <c r="C80" s="147"/>
      <c r="D80" s="144"/>
      <c r="E80" s="144"/>
      <c r="F80" s="147" t="s">
        <v>2973</v>
      </c>
      <c r="I80" s="144"/>
      <c r="J80" s="147" t="s">
        <v>2974</v>
      </c>
      <c r="K80" s="147"/>
      <c r="L80" s="147" t="s">
        <v>2505</v>
      </c>
      <c r="M80" s="147"/>
      <c r="N80" s="147"/>
      <c r="O80" s="147"/>
      <c r="P80" s="144"/>
      <c r="Q80" s="4800">
        <v>75</v>
      </c>
      <c r="R80" s="4801"/>
      <c r="S80" s="236"/>
      <c r="T80" s="236"/>
      <c r="U80" s="236"/>
      <c r="AA80" s="68"/>
      <c r="AB80" s="68"/>
    </row>
    <row r="81" spans="1:28" ht="11.25" customHeight="1">
      <c r="B81" s="147" t="s">
        <v>1721</v>
      </c>
      <c r="F81" s="1231" t="s">
        <v>3788</v>
      </c>
      <c r="G81" s="236"/>
      <c r="H81" s="236"/>
      <c r="J81" s="147" t="s">
        <v>3794</v>
      </c>
      <c r="K81" s="147" t="s">
        <v>3795</v>
      </c>
      <c r="L81" s="44"/>
      <c r="M81" s="44"/>
      <c r="N81" s="44"/>
      <c r="O81" s="1235" t="s">
        <v>3789</v>
      </c>
      <c r="AA81"/>
      <c r="AB81"/>
    </row>
    <row r="82" spans="1:28" ht="11.25" customHeight="1">
      <c r="F82" s="115"/>
      <c r="H82" s="1232">
        <v>0.09</v>
      </c>
      <c r="J82" s="391">
        <v>1</v>
      </c>
      <c r="K82" s="391">
        <v>50</v>
      </c>
      <c r="Q82" s="4809">
        <v>27500</v>
      </c>
      <c r="R82" s="4809"/>
      <c r="AA82"/>
      <c r="AB82"/>
    </row>
    <row r="83" spans="1:28" ht="11.25" customHeight="1">
      <c r="F83" s="115"/>
      <c r="H83" s="686"/>
      <c r="J83" s="391">
        <v>51</v>
      </c>
      <c r="K83" s="391">
        <v>70</v>
      </c>
      <c r="Q83" s="4810">
        <v>22000</v>
      </c>
      <c r="R83" s="4810"/>
      <c r="AA83"/>
      <c r="AB83"/>
    </row>
    <row r="84" spans="1:28" ht="11.25" customHeight="1">
      <c r="F84" s="115"/>
      <c r="H84" s="1434"/>
      <c r="I84" s="165"/>
      <c r="J84" s="1435">
        <v>71</v>
      </c>
      <c r="K84" s="1436"/>
      <c r="L84" s="165"/>
      <c r="M84" s="165"/>
      <c r="N84" s="165"/>
      <c r="O84" s="165"/>
      <c r="P84" s="1437"/>
      <c r="Q84" s="4811">
        <v>16500</v>
      </c>
      <c r="R84" s="4811"/>
      <c r="AA84"/>
      <c r="AB84"/>
    </row>
    <row r="85" spans="1:28" ht="11.25" customHeight="1">
      <c r="H85" s="1438">
        <v>0.04</v>
      </c>
      <c r="I85" s="1439"/>
      <c r="J85" s="1440">
        <v>1</v>
      </c>
      <c r="K85" s="1440">
        <v>50</v>
      </c>
      <c r="L85" s="1439"/>
      <c r="M85" s="1439"/>
      <c r="N85" s="1439"/>
      <c r="O85" s="1439"/>
      <c r="P85" s="1441"/>
      <c r="Q85" s="4809">
        <v>27500</v>
      </c>
      <c r="R85" s="4809"/>
      <c r="AA85"/>
      <c r="AB85"/>
    </row>
    <row r="86" spans="1:28" ht="11.25" customHeight="1">
      <c r="H86" s="1233"/>
      <c r="J86" s="391">
        <v>51</v>
      </c>
      <c r="K86" s="391">
        <v>70</v>
      </c>
      <c r="Q86" s="4810">
        <v>22000</v>
      </c>
      <c r="R86" s="4810"/>
      <c r="AA86"/>
      <c r="AB86"/>
    </row>
    <row r="87" spans="1:28" ht="11.25" customHeight="1">
      <c r="H87" s="1233"/>
      <c r="J87" s="391">
        <v>71</v>
      </c>
      <c r="K87" s="1233"/>
      <c r="Q87" s="4811">
        <v>16500</v>
      </c>
      <c r="R87" s="4811"/>
      <c r="AA87"/>
      <c r="AB87"/>
    </row>
    <row r="88" spans="1:28" ht="11.25" customHeight="1">
      <c r="F88" s="236" t="s">
        <v>3790</v>
      </c>
      <c r="H88" s="369"/>
      <c r="I88" s="44"/>
      <c r="AA88"/>
      <c r="AB88"/>
    </row>
    <row r="89" spans="1:28" ht="11.25" customHeight="1">
      <c r="H89" s="1234">
        <v>0.09</v>
      </c>
      <c r="I89" s="236"/>
      <c r="Q89" s="4809">
        <v>2285000</v>
      </c>
      <c r="R89" s="4809"/>
      <c r="AA89"/>
      <c r="AB89"/>
    </row>
    <row r="90" spans="1:28" ht="11.25" customHeight="1">
      <c r="H90" s="1234">
        <v>0.04</v>
      </c>
      <c r="I90" s="236"/>
      <c r="Q90" s="4811">
        <v>4000000</v>
      </c>
      <c r="R90" s="4811"/>
      <c r="AA90"/>
      <c r="AB90"/>
    </row>
    <row r="91" spans="1:28">
      <c r="AA91"/>
      <c r="AB91"/>
    </row>
    <row r="92" spans="1:28" s="145" customFormat="1" ht="13.5">
      <c r="A92" s="147"/>
      <c r="B92" s="147"/>
      <c r="C92" s="147"/>
      <c r="D92" s="144"/>
      <c r="E92" s="144"/>
      <c r="F92" s="147"/>
      <c r="G92" s="147"/>
      <c r="H92" s="147"/>
      <c r="I92" s="144"/>
      <c r="J92" s="147" t="s">
        <v>2957</v>
      </c>
      <c r="K92" s="147"/>
      <c r="L92" s="147"/>
      <c r="M92" s="147"/>
      <c r="N92" s="147"/>
      <c r="O92" s="147"/>
      <c r="P92" s="144"/>
      <c r="Q92" s="4803">
        <v>3500000</v>
      </c>
      <c r="R92" s="4804"/>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798">
        <v>0.15</v>
      </c>
      <c r="R93" s="4799"/>
      <c r="S93" s="236"/>
      <c r="T93" s="236"/>
      <c r="U93" s="236"/>
      <c r="AA93" s="68"/>
      <c r="AB93" s="68"/>
    </row>
    <row r="94" spans="1:28" s="145" customFormat="1" ht="13.5" hidden="1">
      <c r="A94" s="147"/>
      <c r="B94" s="314"/>
      <c r="C94" s="147"/>
      <c r="D94" s="144"/>
      <c r="E94" s="144"/>
      <c r="F94" s="147"/>
      <c r="G94" s="147"/>
      <c r="H94" s="147" t="s">
        <v>3079</v>
      </c>
      <c r="I94" s="147" t="s">
        <v>907</v>
      </c>
      <c r="J94" s="147" t="s">
        <v>909</v>
      </c>
      <c r="K94" s="147"/>
      <c r="L94" s="147"/>
      <c r="M94" s="147"/>
      <c r="N94" s="147"/>
      <c r="O94" s="147"/>
      <c r="P94" s="144"/>
      <c r="Q94" s="4798">
        <v>0.15</v>
      </c>
      <c r="R94" s="479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798">
        <v>0.15</v>
      </c>
      <c r="R95" s="479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798">
        <v>0.15</v>
      </c>
      <c r="R96" s="479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798">
        <v>0.15</v>
      </c>
      <c r="R97" s="479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798">
        <v>0.15</v>
      </c>
      <c r="R98" s="479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798" t="s">
        <v>2184</v>
      </c>
      <c r="R99" s="479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3000</v>
      </c>
      <c r="C105" s="147"/>
      <c r="D105" s="144"/>
      <c r="E105" s="147"/>
      <c r="F105" s="147"/>
      <c r="G105" s="147"/>
      <c r="H105" s="144"/>
      <c r="I105" s="144"/>
      <c r="J105" s="147" t="s">
        <v>1635</v>
      </c>
      <c r="K105" s="147"/>
      <c r="L105" s="147"/>
      <c r="M105" s="147"/>
      <c r="N105" s="147"/>
      <c r="O105" s="147"/>
      <c r="P105" s="144"/>
      <c r="Q105" s="4800">
        <v>3000</v>
      </c>
      <c r="R105" s="4801"/>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2696</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4646</v>
      </c>
      <c r="K113" s="147"/>
      <c r="L113" s="147"/>
      <c r="M113" s="147"/>
      <c r="N113" s="147"/>
      <c r="O113" s="147"/>
      <c r="P113" s="144"/>
      <c r="Q113" s="4802">
        <v>0.02</v>
      </c>
      <c r="R113" s="4802"/>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790">
        <v>0.02</v>
      </c>
      <c r="R114" s="4790"/>
      <c r="AA114" s="68"/>
      <c r="AB114" s="68"/>
    </row>
    <row r="115" spans="1:28" s="236" customFormat="1" ht="11.65" customHeight="1">
      <c r="A115" s="147"/>
      <c r="B115" s="147" t="s">
        <v>4784</v>
      </c>
      <c r="C115" s="147"/>
      <c r="D115" s="147"/>
      <c r="E115" s="147"/>
      <c r="F115" s="147" t="s">
        <v>4782</v>
      </c>
      <c r="G115" s="147"/>
      <c r="H115" s="147"/>
      <c r="J115" s="147" t="s">
        <v>1638</v>
      </c>
      <c r="K115" s="147"/>
      <c r="L115" s="147"/>
      <c r="M115" s="147"/>
      <c r="N115" s="147"/>
      <c r="O115" s="147"/>
      <c r="Q115" s="2071">
        <v>7.0000000000000007E-2</v>
      </c>
      <c r="R115" s="2072" t="s">
        <v>2844</v>
      </c>
      <c r="AA115" s="68"/>
      <c r="AB115" s="68"/>
    </row>
    <row r="116" spans="1:28" s="236" customFormat="1" ht="11.65" customHeight="1">
      <c r="A116" s="147"/>
      <c r="B116" s="147"/>
      <c r="C116" s="147"/>
      <c r="D116" s="147"/>
      <c r="E116" s="147"/>
      <c r="F116" s="147" t="s">
        <v>4783</v>
      </c>
      <c r="G116" s="147"/>
      <c r="H116" s="147"/>
      <c r="J116" s="147" t="s">
        <v>1638</v>
      </c>
      <c r="K116" s="147"/>
      <c r="L116" s="147"/>
      <c r="M116" s="147"/>
      <c r="N116" s="147"/>
      <c r="O116" s="147"/>
      <c r="Q116" s="2071">
        <v>7.0000000000000007E-2</v>
      </c>
      <c r="R116" s="2072" t="s">
        <v>2844</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84">
        <v>0.03</v>
      </c>
      <c r="R117" s="4784"/>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84">
        <v>0.03</v>
      </c>
      <c r="R118" s="4784"/>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85">
        <v>0</v>
      </c>
      <c r="R119" s="4785"/>
      <c r="S119" s="236"/>
      <c r="T119" s="236"/>
      <c r="U119" s="236"/>
      <c r="AA119" s="68"/>
      <c r="AB119" s="68"/>
    </row>
    <row r="120" spans="1:28" s="145" customFormat="1" ht="11.45" customHeight="1">
      <c r="A120" s="144"/>
      <c r="B120" s="147" t="s">
        <v>4787</v>
      </c>
      <c r="C120" s="147"/>
      <c r="D120" s="147"/>
      <c r="E120" s="144"/>
      <c r="F120" s="147" t="s">
        <v>4788</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4789</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4758</v>
      </c>
      <c r="G125" s="147" t="s">
        <v>3223</v>
      </c>
      <c r="I125" s="144"/>
      <c r="J125" s="241" t="s">
        <v>4837</v>
      </c>
      <c r="K125" s="147"/>
      <c r="L125" s="147"/>
      <c r="M125" s="147"/>
      <c r="N125" s="147"/>
      <c r="P125" s="144"/>
      <c r="Q125" s="4786"/>
      <c r="R125" s="4786"/>
      <c r="S125" s="4786"/>
      <c r="T125" s="4786"/>
      <c r="U125" s="144"/>
      <c r="V125" s="702"/>
      <c r="W125" s="702"/>
      <c r="X125" s="148"/>
      <c r="AA125" s="68"/>
      <c r="AB125" s="68"/>
    </row>
    <row r="126" spans="1:28" s="145" customFormat="1" ht="11.65" customHeight="1">
      <c r="A126" s="229"/>
      <c r="B126" s="147"/>
      <c r="C126" s="147"/>
      <c r="D126" s="144"/>
      <c r="F126" s="147"/>
      <c r="G126" s="147" t="s">
        <v>3651</v>
      </c>
      <c r="I126" s="144"/>
      <c r="J126" s="241" t="s">
        <v>4838</v>
      </c>
      <c r="K126" s="147"/>
      <c r="L126" s="147"/>
      <c r="M126" s="147"/>
      <c r="P126" s="144"/>
      <c r="Q126" s="4786"/>
      <c r="R126" s="4786"/>
      <c r="S126" s="4786"/>
      <c r="T126" s="4786"/>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4757</v>
      </c>
      <c r="F128" s="147" t="s">
        <v>477</v>
      </c>
      <c r="G128" s="147" t="s">
        <v>2387</v>
      </c>
      <c r="I128" s="144"/>
      <c r="J128" s="147" t="s">
        <v>2438</v>
      </c>
      <c r="K128" s="147"/>
      <c r="L128" s="147"/>
      <c r="M128" s="147"/>
      <c r="N128" s="147"/>
      <c r="O128" s="147"/>
      <c r="P128" s="144"/>
      <c r="Q128" s="4796">
        <v>0.15</v>
      </c>
      <c r="R128" s="4796"/>
      <c r="S128" s="144"/>
      <c r="T128" s="144"/>
      <c r="U128" s="144"/>
      <c r="V128" s="702"/>
      <c r="W128" s="702"/>
      <c r="X128" s="148"/>
      <c r="AA128" s="68"/>
      <c r="AB128" s="68"/>
    </row>
    <row r="129" spans="1:28" s="145" customFormat="1" ht="11.65" customHeight="1">
      <c r="A129" s="147"/>
      <c r="B129" s="147"/>
      <c r="C129" s="147"/>
      <c r="D129" s="144"/>
      <c r="E129" s="144"/>
      <c r="F129" s="147"/>
      <c r="G129" s="147" t="s">
        <v>4402</v>
      </c>
      <c r="H129" s="147" t="s">
        <v>4752</v>
      </c>
      <c r="J129" s="147" t="s">
        <v>4409</v>
      </c>
      <c r="K129" s="147"/>
      <c r="L129" s="147"/>
      <c r="M129" s="147"/>
      <c r="O129" s="231" t="s">
        <v>4839</v>
      </c>
      <c r="P129" s="144"/>
      <c r="Q129" s="4797">
        <v>1105000</v>
      </c>
      <c r="R129" s="4797"/>
      <c r="S129" s="230"/>
      <c r="T129" s="230"/>
      <c r="U129" s="144"/>
      <c r="V129" s="321"/>
      <c r="W129" s="321"/>
      <c r="X129" s="321"/>
      <c r="AA129" s="68"/>
      <c r="AB129" s="68"/>
    </row>
    <row r="130" spans="1:28" s="145" customFormat="1" ht="11.65" customHeight="1">
      <c r="A130" s="147"/>
      <c r="B130" s="147"/>
      <c r="C130" s="147"/>
      <c r="D130" s="144"/>
      <c r="E130" s="144"/>
      <c r="F130" s="147"/>
      <c r="G130" s="147"/>
      <c r="H130" s="147" t="s">
        <v>4000</v>
      </c>
      <c r="J130" s="147" t="s">
        <v>4409</v>
      </c>
      <c r="K130" s="147"/>
      <c r="L130" s="147"/>
      <c r="M130" s="147"/>
      <c r="O130" s="231" t="s">
        <v>4840</v>
      </c>
      <c r="P130" s="144"/>
      <c r="Q130" s="4787">
        <v>1225000</v>
      </c>
      <c r="R130" s="4787"/>
      <c r="S130" s="230"/>
      <c r="T130" s="230"/>
      <c r="U130" s="144"/>
      <c r="V130" s="321"/>
      <c r="W130" s="321"/>
      <c r="X130" s="321"/>
      <c r="AA130" s="68"/>
      <c r="AB130" s="68"/>
    </row>
    <row r="131" spans="1:28" s="145" customFormat="1" ht="11.65" customHeight="1">
      <c r="A131" s="147"/>
      <c r="B131" s="147"/>
      <c r="C131" s="147"/>
      <c r="D131" s="144"/>
      <c r="E131" s="144"/>
      <c r="F131" s="147"/>
      <c r="G131" s="147"/>
      <c r="H131" s="147" t="s">
        <v>4404</v>
      </c>
      <c r="I131" s="144"/>
      <c r="J131" s="147" t="s">
        <v>4409</v>
      </c>
      <c r="K131" s="147"/>
      <c r="O131" s="231" t="s">
        <v>4841</v>
      </c>
      <c r="Q131" s="4787">
        <v>1105000</v>
      </c>
      <c r="R131" s="4787"/>
      <c r="S131" s="230"/>
      <c r="T131" s="230"/>
      <c r="U131" s="144"/>
      <c r="V131" s="321"/>
      <c r="W131" s="321"/>
      <c r="X131" s="321"/>
      <c r="AA131" s="68"/>
      <c r="AB131" s="68"/>
    </row>
    <row r="132" spans="1:28" s="145" customFormat="1" ht="11.65" customHeight="1">
      <c r="A132" s="147"/>
      <c r="B132" s="147"/>
      <c r="C132" s="147"/>
      <c r="D132" s="144"/>
      <c r="E132" s="144"/>
      <c r="F132" s="147"/>
      <c r="G132" s="147"/>
      <c r="H132" s="147" t="s">
        <v>4403</v>
      </c>
      <c r="I132" s="144"/>
      <c r="J132" s="147" t="s">
        <v>4409</v>
      </c>
      <c r="K132" s="147"/>
      <c r="O132" s="231" t="s">
        <v>4840</v>
      </c>
      <c r="Q132" s="4788">
        <v>1105000</v>
      </c>
      <c r="R132" s="4789"/>
      <c r="S132" s="230"/>
      <c r="T132" s="230"/>
      <c r="U132" s="144"/>
      <c r="V132" s="321"/>
      <c r="W132" s="321"/>
      <c r="X132" s="321"/>
      <c r="AA132" s="68"/>
      <c r="AB132" s="68"/>
    </row>
    <row r="133" spans="1:28" s="145" customFormat="1" ht="11.65" customHeight="1">
      <c r="A133" s="147"/>
      <c r="B133" s="147"/>
      <c r="C133" s="147"/>
      <c r="D133" s="144"/>
      <c r="E133" s="144"/>
      <c r="F133" s="147"/>
      <c r="G133" s="147" t="s">
        <v>4763</v>
      </c>
      <c r="H133" s="225" t="s">
        <v>2504</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90">
        <v>0.35</v>
      </c>
      <c r="K134" s="4790"/>
      <c r="L134" s="147"/>
      <c r="M134" s="147"/>
      <c r="N134" s="147"/>
      <c r="O134" s="147"/>
      <c r="P134" s="147"/>
      <c r="Q134" s="147"/>
      <c r="R134" s="147"/>
    </row>
    <row r="135" spans="1:28" ht="11.25" customHeight="1">
      <c r="G135" s="147"/>
      <c r="H135" s="147" t="s">
        <v>4001</v>
      </c>
      <c r="I135" s="144"/>
      <c r="J135" s="4784">
        <v>0.35</v>
      </c>
      <c r="K135" s="4784"/>
      <c r="L135" s="147"/>
      <c r="M135" s="147"/>
      <c r="N135" s="147"/>
      <c r="O135" s="147"/>
      <c r="P135" s="147"/>
      <c r="Q135" s="147"/>
      <c r="R135" s="147"/>
    </row>
    <row r="136" spans="1:28" ht="11.25" customHeight="1">
      <c r="A136" s="229"/>
      <c r="G136" s="147"/>
      <c r="H136" s="147" t="s">
        <v>2939</v>
      </c>
      <c r="I136" s="144"/>
      <c r="J136" s="4781">
        <v>0.3</v>
      </c>
      <c r="K136" s="4781"/>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4759</v>
      </c>
      <c r="E138" s="144"/>
      <c r="G138" s="147" t="s">
        <v>4753</v>
      </c>
      <c r="I138" s="144"/>
      <c r="J138" s="147" t="s">
        <v>4754</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4756</v>
      </c>
      <c r="I139" s="144"/>
      <c r="J139" s="147" t="s">
        <v>4755</v>
      </c>
      <c r="P139" s="646" t="s">
        <v>4842</v>
      </c>
      <c r="Q139" s="4791">
        <v>30000000</v>
      </c>
      <c r="R139" s="4791"/>
      <c r="S139" s="144"/>
      <c r="T139" s="144"/>
      <c r="U139" s="144"/>
      <c r="V139" s="702"/>
      <c r="W139" s="702"/>
      <c r="X139" s="148"/>
      <c r="AA139" s="68"/>
      <c r="AB139" s="68"/>
    </row>
    <row r="140" spans="1:28" s="145" customFormat="1" ht="11.25" customHeight="1">
      <c r="A140" s="229"/>
      <c r="B140" s="147"/>
      <c r="C140" s="147"/>
      <c r="D140" s="144"/>
      <c r="E140" s="144"/>
      <c r="G140" s="147" t="s">
        <v>4760</v>
      </c>
      <c r="I140" s="144"/>
      <c r="J140" s="147" t="s">
        <v>4761</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4762</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4408</v>
      </c>
      <c r="H143" s="147"/>
      <c r="I143" s="144"/>
      <c r="J143" s="147" t="s">
        <v>4410</v>
      </c>
      <c r="K143" s="147"/>
      <c r="L143" s="147"/>
      <c r="M143" s="147"/>
      <c r="N143" s="147"/>
      <c r="O143" s="147"/>
      <c r="P143" s="144"/>
      <c r="Q143" s="4792"/>
      <c r="R143" s="4793"/>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3229</v>
      </c>
      <c r="K144" s="147"/>
      <c r="L144" s="147"/>
      <c r="M144" s="147"/>
      <c r="N144" s="147"/>
      <c r="O144" s="147"/>
      <c r="P144" s="144"/>
      <c r="Q144" s="4794">
        <v>4000000</v>
      </c>
      <c r="R144" s="4794"/>
      <c r="S144" s="230"/>
      <c r="T144" s="230"/>
      <c r="U144" s="144"/>
      <c r="V144" s="321"/>
      <c r="W144" s="321"/>
      <c r="X144" s="321"/>
      <c r="AA144" s="68"/>
      <c r="AB144" s="68"/>
    </row>
    <row r="145" spans="1:28" s="145" customFormat="1" ht="11.65" customHeight="1">
      <c r="A145" s="147"/>
      <c r="B145" s="147"/>
      <c r="C145" s="147"/>
      <c r="D145" s="144"/>
      <c r="E145" s="144"/>
      <c r="F145" s="147"/>
      <c r="G145" s="147" t="s">
        <v>4407</v>
      </c>
      <c r="H145" s="144"/>
      <c r="I145" s="144"/>
      <c r="J145" s="147" t="s">
        <v>4409</v>
      </c>
      <c r="K145" s="147"/>
      <c r="O145" s="147" t="s">
        <v>4405</v>
      </c>
      <c r="Q145" s="4788">
        <v>1035000</v>
      </c>
      <c r="R145" s="478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3112</v>
      </c>
      <c r="B147" s="147"/>
      <c r="C147" s="147"/>
      <c r="D147" s="144"/>
      <c r="E147" s="144"/>
      <c r="F147" s="147" t="s">
        <v>3115</v>
      </c>
      <c r="G147" s="147"/>
      <c r="H147" s="144"/>
      <c r="I147" s="144"/>
      <c r="J147" s="147" t="s">
        <v>3116</v>
      </c>
      <c r="K147" s="147"/>
      <c r="L147" s="147"/>
      <c r="M147" s="147"/>
      <c r="N147" s="147"/>
      <c r="O147" s="147"/>
      <c r="P147" s="144"/>
      <c r="Q147" s="4795">
        <v>0.05</v>
      </c>
      <c r="R147" s="4795"/>
      <c r="S147" s="144"/>
      <c r="T147" s="144"/>
      <c r="U147" s="144"/>
      <c r="V147" s="702"/>
      <c r="W147" s="702"/>
      <c r="X147" s="148"/>
      <c r="AA147" s="68"/>
      <c r="AB147" s="68"/>
    </row>
    <row r="148" spans="1:28" s="145" customFormat="1" ht="12.75" customHeight="1">
      <c r="A148" s="229"/>
      <c r="B148" s="147"/>
      <c r="C148" s="147"/>
      <c r="D148" s="144"/>
      <c r="E148" s="144"/>
      <c r="F148" s="147"/>
      <c r="G148" s="147" t="s">
        <v>3113</v>
      </c>
      <c r="H148" s="144"/>
      <c r="I148" s="144"/>
      <c r="J148" s="147" t="s">
        <v>3117</v>
      </c>
      <c r="K148" s="147"/>
      <c r="L148" s="147"/>
      <c r="M148" s="147"/>
      <c r="N148" s="147"/>
      <c r="O148" s="147"/>
      <c r="P148" s="144"/>
      <c r="Q148" s="4782">
        <v>0.4</v>
      </c>
      <c r="R148" s="4782"/>
      <c r="S148" s="144"/>
      <c r="T148" s="144"/>
      <c r="U148" s="144"/>
      <c r="V148" s="702"/>
      <c r="W148" s="702"/>
      <c r="X148" s="148"/>
      <c r="AA148" s="68"/>
      <c r="AB148" s="68"/>
    </row>
    <row r="149" spans="1:28" s="145" customFormat="1" ht="12.75" customHeight="1">
      <c r="A149" s="229"/>
      <c r="B149" s="147"/>
      <c r="C149" s="147"/>
      <c r="E149" s="144"/>
      <c r="F149" s="147" t="s">
        <v>3114</v>
      </c>
      <c r="G149" s="147"/>
      <c r="H149" s="144"/>
      <c r="I149" s="144"/>
      <c r="J149" s="147" t="s">
        <v>3116</v>
      </c>
      <c r="K149" s="147"/>
      <c r="L149" s="147"/>
      <c r="M149" s="147"/>
      <c r="N149" s="147"/>
      <c r="O149" s="147"/>
      <c r="P149" s="144"/>
      <c r="Q149" s="4783">
        <v>0.02</v>
      </c>
      <c r="R149" s="4783"/>
      <c r="S149" s="144"/>
      <c r="T149" s="144"/>
      <c r="U149" s="144"/>
      <c r="V149" s="702"/>
      <c r="W149" s="702"/>
      <c r="X149" s="148"/>
      <c r="AA149" s="68"/>
      <c r="AB149" s="68"/>
    </row>
    <row r="150" spans="1:28" s="145" customFormat="1" ht="12.75" customHeight="1">
      <c r="A150" s="4776" t="s">
        <v>4644</v>
      </c>
      <c r="B150" s="4776"/>
      <c r="C150" s="1910"/>
      <c r="D150" s="4777" t="s">
        <v>4643</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6"/>
      <c r="B151" s="4776"/>
      <c r="C151" s="2067">
        <v>2024</v>
      </c>
      <c r="D151" s="4778"/>
      <c r="E151" s="239"/>
      <c r="F151" s="239"/>
      <c r="G151" s="239"/>
      <c r="H151" s="239"/>
      <c r="I151" s="239"/>
    </row>
    <row r="152" spans="1:28" ht="13.5">
      <c r="A152" s="4776"/>
      <c r="B152" s="4776"/>
      <c r="C152" s="147"/>
      <c r="D152" s="4778"/>
      <c r="H152" s="4779" t="s">
        <v>4642</v>
      </c>
      <c r="J152" s="142" t="s">
        <v>747</v>
      </c>
      <c r="K152" s="142"/>
      <c r="L152" s="223"/>
    </row>
    <row r="153" spans="1:28" ht="13.5">
      <c r="A153" s="4776"/>
      <c r="B153" s="4776"/>
      <c r="C153" s="702" t="s">
        <v>750</v>
      </c>
      <c r="D153" s="1241" t="s">
        <v>2924</v>
      </c>
      <c r="F153" s="702" t="s">
        <v>4640</v>
      </c>
      <c r="H153" s="4780"/>
      <c r="J153" s="312" t="s">
        <v>750</v>
      </c>
      <c r="K153" s="312" t="s">
        <v>748</v>
      </c>
      <c r="L153" s="313" t="s">
        <v>749</v>
      </c>
    </row>
    <row r="154" spans="1:28" ht="10.5" customHeight="1">
      <c r="C154" s="321">
        <v>0</v>
      </c>
      <c r="D154" s="650">
        <v>72088</v>
      </c>
      <c r="E154" s="1243" t="s">
        <v>4641</v>
      </c>
      <c r="F154" s="1909">
        <v>2.4</v>
      </c>
      <c r="G154" s="878" t="s">
        <v>1210</v>
      </c>
      <c r="H154" s="1911">
        <f>D154*F154</f>
        <v>173011.19999999998</v>
      </c>
      <c r="J154" s="321">
        <v>0</v>
      </c>
      <c r="K154" s="321">
        <v>0.7</v>
      </c>
      <c r="L154" s="321">
        <v>1</v>
      </c>
    </row>
    <row r="155" spans="1:28" ht="10.5" customHeight="1">
      <c r="C155" s="321">
        <v>1</v>
      </c>
      <c r="D155" s="650">
        <v>82638</v>
      </c>
      <c r="E155" s="1243" t="s">
        <v>4641</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4641</v>
      </c>
      <c r="F156" s="1909">
        <v>2.4</v>
      </c>
      <c r="G156" s="878" t="s">
        <v>1210</v>
      </c>
      <c r="H156" s="1911">
        <f t="shared" si="0"/>
        <v>241176</v>
      </c>
      <c r="J156" s="321">
        <v>2</v>
      </c>
      <c r="K156" s="321">
        <v>0.9</v>
      </c>
      <c r="L156" s="321">
        <v>3</v>
      </c>
    </row>
    <row r="157" spans="1:28" ht="10.5" customHeight="1">
      <c r="C157" s="321">
        <v>3</v>
      </c>
      <c r="D157" s="650">
        <v>130002</v>
      </c>
      <c r="E157" s="1243" t="s">
        <v>4641</v>
      </c>
      <c r="F157" s="1909">
        <v>2.4</v>
      </c>
      <c r="G157" s="878" t="s">
        <v>1210</v>
      </c>
      <c r="H157" s="1911">
        <f t="shared" si="0"/>
        <v>312004.8</v>
      </c>
      <c r="J157" s="321">
        <v>3</v>
      </c>
      <c r="K157" s="321">
        <v>1.04</v>
      </c>
      <c r="L157" s="321">
        <v>4.5</v>
      </c>
    </row>
    <row r="158" spans="1:28" ht="10.5" customHeight="1">
      <c r="C158" s="321" t="s">
        <v>2925</v>
      </c>
      <c r="D158" s="650">
        <v>142701</v>
      </c>
      <c r="E158" s="1243" t="s">
        <v>4641</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4" t="s">
        <v>3314</v>
      </c>
      <c r="E162" s="236"/>
      <c r="F162" s="236"/>
    </row>
    <row r="163" spans="2:37" ht="10.5" customHeight="1">
      <c r="C163" s="3354"/>
      <c r="E163" s="236"/>
      <c r="F163" s="236"/>
    </row>
    <row r="164" spans="2:37" ht="10.5" customHeight="1">
      <c r="C164" s="3354"/>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2484</v>
      </c>
      <c r="N165" s="433" t="s">
        <v>3219</v>
      </c>
      <c r="O165" s="433" t="s">
        <v>3378</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3379</v>
      </c>
      <c r="P166" s="241" t="s">
        <v>1423</v>
      </c>
      <c r="Q166" s="241"/>
      <c r="R166" s="147"/>
      <c r="S166" s="236"/>
      <c r="T166" s="391" t="s">
        <v>2483</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3380</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3381</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4616</v>
      </c>
      <c r="J169" s="777" t="s">
        <v>2394</v>
      </c>
      <c r="K169" s="775" t="s">
        <v>4617</v>
      </c>
      <c r="L169" s="776" t="s">
        <v>398</v>
      </c>
      <c r="M169" s="1871" t="s">
        <v>1121</v>
      </c>
      <c r="N169" s="776" t="s">
        <v>1652</v>
      </c>
      <c r="O169" s="982" t="s">
        <v>3382</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3383</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3384</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4618</v>
      </c>
      <c r="L172" s="776" t="s">
        <v>398</v>
      </c>
      <c r="M172" s="1871" t="s">
        <v>1121</v>
      </c>
      <c r="N172" s="776" t="s">
        <v>1130</v>
      </c>
      <c r="O172" s="982" t="s">
        <v>3385</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4618</v>
      </c>
      <c r="L173" s="776" t="s">
        <v>398</v>
      </c>
      <c r="M173" s="1871" t="s">
        <v>1121</v>
      </c>
      <c r="N173" s="776" t="s">
        <v>1130</v>
      </c>
      <c r="O173" s="982" t="s">
        <v>3386</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3387</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3388</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4619</v>
      </c>
      <c r="L176" s="776" t="s">
        <v>398</v>
      </c>
      <c r="M176" s="1871" t="s">
        <v>1121</v>
      </c>
      <c r="N176" s="776" t="s">
        <v>1240</v>
      </c>
      <c r="O176" s="982" t="s">
        <v>3389</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3390</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3391</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3392</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3393</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3394</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4620</v>
      </c>
      <c r="L182" s="776" t="s">
        <v>398</v>
      </c>
      <c r="M182" s="1871" t="s">
        <v>2386</v>
      </c>
      <c r="N182" s="776" t="s">
        <v>1250</v>
      </c>
      <c r="O182" s="982" t="s">
        <v>3395</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3396</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3397</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3398</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3399</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4618</v>
      </c>
      <c r="L187" s="776" t="s">
        <v>398</v>
      </c>
      <c r="M187" s="1871" t="s">
        <v>1121</v>
      </c>
      <c r="N187" s="776" t="s">
        <v>1130</v>
      </c>
      <c r="O187" s="982" t="s">
        <v>3400</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3401</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3402</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3403</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4621</v>
      </c>
      <c r="L191" s="776" t="s">
        <v>398</v>
      </c>
      <c r="M191" s="1871" t="s">
        <v>2386</v>
      </c>
      <c r="N191" s="776" t="s">
        <v>154</v>
      </c>
      <c r="O191" s="982" t="s">
        <v>3404</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3405</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4618</v>
      </c>
      <c r="L193" s="776" t="s">
        <v>398</v>
      </c>
      <c r="M193" s="1871" t="s">
        <v>1121</v>
      </c>
      <c r="N193" s="776" t="s">
        <v>1130</v>
      </c>
      <c r="O193" s="982" t="s">
        <v>3406</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3407</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3408</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4618</v>
      </c>
      <c r="L196" s="776" t="s">
        <v>398</v>
      </c>
      <c r="M196" s="1871" t="s">
        <v>1121</v>
      </c>
      <c r="N196" s="776" t="s">
        <v>1130</v>
      </c>
      <c r="O196" s="982" t="s">
        <v>3409</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3410</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4618</v>
      </c>
      <c r="L198" s="776" t="s">
        <v>398</v>
      </c>
      <c r="M198" s="1871" t="s">
        <v>1121</v>
      </c>
      <c r="N198" s="776" t="s">
        <v>1130</v>
      </c>
      <c r="O198" s="982" t="s">
        <v>3411</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3412</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3413</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4620</v>
      </c>
      <c r="L201" s="776" t="s">
        <v>398</v>
      </c>
      <c r="M201" s="1871" t="s">
        <v>2386</v>
      </c>
      <c r="N201" s="776" t="s">
        <v>1250</v>
      </c>
      <c r="O201" s="982" t="s">
        <v>3414</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3415</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4618</v>
      </c>
      <c r="L203" s="776" t="s">
        <v>398</v>
      </c>
      <c r="M203" s="1871" t="s">
        <v>1121</v>
      </c>
      <c r="N203" s="776" t="s">
        <v>1130</v>
      </c>
      <c r="O203" s="982" t="s">
        <v>3416</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4619</v>
      </c>
      <c r="L204" s="776" t="s">
        <v>398</v>
      </c>
      <c r="M204" s="1871" t="s">
        <v>2386</v>
      </c>
      <c r="N204" s="776" t="s">
        <v>1240</v>
      </c>
      <c r="O204" s="982" t="s">
        <v>3417</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3418</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3419</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4618</v>
      </c>
      <c r="L207" s="776" t="s">
        <v>398</v>
      </c>
      <c r="M207" s="1871" t="s">
        <v>1121</v>
      </c>
      <c r="N207" s="776" t="s">
        <v>1130</v>
      </c>
      <c r="O207" s="982" t="s">
        <v>3420</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3421</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4618</v>
      </c>
      <c r="L209" s="776" t="s">
        <v>398</v>
      </c>
      <c r="M209" s="1871" t="s">
        <v>1121</v>
      </c>
      <c r="N209" s="776" t="s">
        <v>1130</v>
      </c>
      <c r="O209" s="982" t="s">
        <v>3422</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3423</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3424</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3425</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4618</v>
      </c>
      <c r="L213" s="776" t="s">
        <v>398</v>
      </c>
      <c r="M213" s="1871" t="s">
        <v>1121</v>
      </c>
      <c r="N213" s="776" t="s">
        <v>1130</v>
      </c>
      <c r="O213" s="982" t="s">
        <v>3426</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3427</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3428</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3429</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3430</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3431</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3432</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3433</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4618</v>
      </c>
      <c r="L221" s="776" t="s">
        <v>398</v>
      </c>
      <c r="M221" s="1871" t="s">
        <v>1121</v>
      </c>
      <c r="N221" s="776" t="s">
        <v>1130</v>
      </c>
      <c r="O221" s="982" t="s">
        <v>3434</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3435</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4618</v>
      </c>
      <c r="L223" s="776" t="s">
        <v>398</v>
      </c>
      <c r="M223" s="1871" t="s">
        <v>1121</v>
      </c>
      <c r="N223" s="776" t="s">
        <v>1130</v>
      </c>
      <c r="O223" s="982" t="s">
        <v>3436</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3437</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4618</v>
      </c>
      <c r="L225" s="776" t="s">
        <v>398</v>
      </c>
      <c r="M225" s="1871" t="s">
        <v>1121</v>
      </c>
      <c r="N225" s="776" t="s">
        <v>1130</v>
      </c>
      <c r="O225" s="982" t="s">
        <v>3438</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3439</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3440</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3441</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3442</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3443</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3444</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4618</v>
      </c>
      <c r="L232" s="776" t="s">
        <v>398</v>
      </c>
      <c r="M232" s="1871" t="s">
        <v>1121</v>
      </c>
      <c r="N232" s="776" t="s">
        <v>1130</v>
      </c>
      <c r="O232" s="982" t="s">
        <v>3445</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3446</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3447</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3448</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3449</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4621</v>
      </c>
      <c r="L237" s="776" t="s">
        <v>398</v>
      </c>
      <c r="M237" s="1871" t="s">
        <v>2386</v>
      </c>
      <c r="N237" s="776" t="s">
        <v>154</v>
      </c>
      <c r="O237" s="982" t="s">
        <v>3450</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3451</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4618</v>
      </c>
      <c r="L239" s="776" t="s">
        <v>398</v>
      </c>
      <c r="M239" s="1871" t="s">
        <v>1121</v>
      </c>
      <c r="N239" s="776" t="s">
        <v>1130</v>
      </c>
      <c r="O239" s="982" t="s">
        <v>3452</v>
      </c>
      <c r="P239" s="241" t="s">
        <v>2200</v>
      </c>
      <c r="Q239" s="241"/>
      <c r="R239" s="147"/>
      <c r="S239" s="236"/>
      <c r="T239" s="391" t="s">
        <v>2520</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4618</v>
      </c>
      <c r="L240" s="776" t="s">
        <v>398</v>
      </c>
      <c r="M240" s="1871" t="s">
        <v>1121</v>
      </c>
      <c r="N240" s="776" t="s">
        <v>1130</v>
      </c>
      <c r="O240" s="982" t="s">
        <v>3453</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4622</v>
      </c>
      <c r="L241" s="776" t="s">
        <v>398</v>
      </c>
      <c r="M241" s="1871" t="s">
        <v>1121</v>
      </c>
      <c r="N241" s="776" t="s">
        <v>1240</v>
      </c>
      <c r="O241" s="982" t="s">
        <v>3454</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3455</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3456</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4618</v>
      </c>
      <c r="L244" s="776" t="s">
        <v>398</v>
      </c>
      <c r="M244" s="1871" t="s">
        <v>1121</v>
      </c>
      <c r="N244" s="776" t="s">
        <v>1130</v>
      </c>
      <c r="O244" s="982" t="s">
        <v>3457</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3458</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3459</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3460</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3461</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4619</v>
      </c>
      <c r="L249" s="776" t="s">
        <v>398</v>
      </c>
      <c r="M249" s="1871" t="s">
        <v>2386</v>
      </c>
      <c r="N249" s="776" t="s">
        <v>1240</v>
      </c>
      <c r="O249" s="982" t="s">
        <v>3462</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3463</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3464</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3465</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3466</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4623</v>
      </c>
      <c r="L254" s="776" t="s">
        <v>398</v>
      </c>
      <c r="M254" s="1871" t="s">
        <v>1121</v>
      </c>
      <c r="N254" s="776" t="s">
        <v>1246</v>
      </c>
      <c r="O254" s="982" t="s">
        <v>3467</v>
      </c>
      <c r="P254" s="241" t="s">
        <v>1456</v>
      </c>
      <c r="Q254" s="241"/>
      <c r="R254" s="147"/>
      <c r="S254" s="236"/>
      <c r="T254" s="391" t="s">
        <v>2521</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3148</v>
      </c>
      <c r="L255" s="776" t="s">
        <v>398</v>
      </c>
      <c r="M255" s="1871" t="s">
        <v>2386</v>
      </c>
      <c r="N255" s="776" t="s">
        <v>1250</v>
      </c>
      <c r="O255" s="982" t="s">
        <v>3468</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3469</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3470</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3471</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3472</v>
      </c>
      <c r="P259" s="241" t="s">
        <v>1618</v>
      </c>
      <c r="Q259" s="241"/>
      <c r="R259" s="147"/>
      <c r="S259" s="236"/>
      <c r="T259" s="391" t="s">
        <v>2522</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3473</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4621</v>
      </c>
      <c r="L261" s="776" t="s">
        <v>398</v>
      </c>
      <c r="M261" s="1871" t="s">
        <v>2386</v>
      </c>
      <c r="N261" s="776" t="s">
        <v>154</v>
      </c>
      <c r="O261" s="982" t="s">
        <v>3474</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4620</v>
      </c>
      <c r="L262" s="776" t="s">
        <v>398</v>
      </c>
      <c r="M262" s="1871" t="s">
        <v>2386</v>
      </c>
      <c r="N262" s="776" t="s">
        <v>1250</v>
      </c>
      <c r="O262" s="982" t="s">
        <v>3475</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3476</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3477</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3478</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3479</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3480</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3481</v>
      </c>
      <c r="P268" s="241" t="s">
        <v>1907</v>
      </c>
      <c r="Q268" s="241"/>
      <c r="R268" s="147"/>
      <c r="S268" s="236"/>
      <c r="T268" s="236" t="s">
        <v>2523</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3147</v>
      </c>
      <c r="L269" s="776" t="s">
        <v>398</v>
      </c>
      <c r="M269" s="1871" t="s">
        <v>2386</v>
      </c>
      <c r="N269" s="776" t="s">
        <v>1130</v>
      </c>
      <c r="O269" s="982" t="s">
        <v>3482</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3483</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4621</v>
      </c>
      <c r="L271" s="776" t="s">
        <v>398</v>
      </c>
      <c r="M271" s="1871" t="s">
        <v>1121</v>
      </c>
      <c r="N271" s="776" t="s">
        <v>154</v>
      </c>
      <c r="O271" s="982" t="s">
        <v>3484</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4618</v>
      </c>
      <c r="L272" s="776" t="s">
        <v>398</v>
      </c>
      <c r="M272" s="1871" t="s">
        <v>1121</v>
      </c>
      <c r="N272" s="776" t="s">
        <v>1130</v>
      </c>
      <c r="O272" s="982" t="s">
        <v>3485</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3486</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3487</v>
      </c>
      <c r="P274" s="241" t="s">
        <v>2143</v>
      </c>
      <c r="Q274" s="241"/>
      <c r="R274" s="147"/>
      <c r="S274" s="236"/>
      <c r="T274" s="391" t="s">
        <v>3655</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4618</v>
      </c>
      <c r="L275" s="776" t="s">
        <v>398</v>
      </c>
      <c r="M275" s="1871" t="s">
        <v>1121</v>
      </c>
      <c r="N275" s="776" t="s">
        <v>1130</v>
      </c>
      <c r="O275" s="982" t="s">
        <v>3488</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4624</v>
      </c>
      <c r="L276" s="776" t="s">
        <v>398</v>
      </c>
      <c r="M276" s="1871" t="s">
        <v>2386</v>
      </c>
      <c r="N276" s="776" t="s">
        <v>1240</v>
      </c>
      <c r="O276" s="982" t="s">
        <v>3489</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4618</v>
      </c>
      <c r="L277" s="776" t="s">
        <v>398</v>
      </c>
      <c r="M277" s="1871" t="s">
        <v>1121</v>
      </c>
      <c r="N277" s="776" t="s">
        <v>1130</v>
      </c>
      <c r="O277" s="982" t="s">
        <v>3490</v>
      </c>
      <c r="P277" s="241" t="s">
        <v>1175</v>
      </c>
      <c r="Q277" s="241"/>
      <c r="R277" s="147"/>
      <c r="S277" s="236"/>
      <c r="T277" s="391" t="s">
        <v>2524</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3491</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4618</v>
      </c>
      <c r="L279" s="776" t="s">
        <v>398</v>
      </c>
      <c r="M279" s="1871" t="s">
        <v>1121</v>
      </c>
      <c r="N279" s="776" t="s">
        <v>1130</v>
      </c>
      <c r="O279" s="982" t="s">
        <v>3492</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3493</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3494</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3495</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3496</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3497</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3498</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4620</v>
      </c>
      <c r="L286" s="776" t="s">
        <v>398</v>
      </c>
      <c r="M286" s="1871" t="s">
        <v>1121</v>
      </c>
      <c r="N286" s="776" t="s">
        <v>1250</v>
      </c>
      <c r="O286" s="982" t="s">
        <v>3499</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4618</v>
      </c>
      <c r="L287" s="776" t="s">
        <v>398</v>
      </c>
      <c r="M287" s="1871" t="s">
        <v>1121</v>
      </c>
      <c r="N287" s="776" t="s">
        <v>1130</v>
      </c>
      <c r="O287" s="982" t="s">
        <v>3500</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3501</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3502</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3503</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3504</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4618</v>
      </c>
      <c r="L292" s="776" t="s">
        <v>398</v>
      </c>
      <c r="M292" s="1871" t="s">
        <v>1121</v>
      </c>
      <c r="N292" s="776" t="s">
        <v>1130</v>
      </c>
      <c r="O292" s="982" t="s">
        <v>3505</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3506</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4625</v>
      </c>
      <c r="L294" s="776" t="s">
        <v>397</v>
      </c>
      <c r="M294" s="1871" t="s">
        <v>2386</v>
      </c>
      <c r="N294" s="776" t="s">
        <v>154</v>
      </c>
      <c r="O294" s="982" t="s">
        <v>3507</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3508</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4626</v>
      </c>
      <c r="L296" s="776" t="s">
        <v>397</v>
      </c>
      <c r="M296" s="1871" t="s">
        <v>2386</v>
      </c>
      <c r="N296" s="776" t="s">
        <v>154</v>
      </c>
      <c r="O296" s="982" t="s">
        <v>3509</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3510</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3511</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3512</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3513</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3514</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3515</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3516</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3517</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3518</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3519</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3520</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3521</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4619</v>
      </c>
      <c r="L309" s="776" t="s">
        <v>398</v>
      </c>
      <c r="M309" s="1871" t="s">
        <v>2386</v>
      </c>
      <c r="N309" s="776" t="s">
        <v>1240</v>
      </c>
      <c r="O309" s="982" t="s">
        <v>3522</v>
      </c>
      <c r="P309" s="241" t="s">
        <v>695</v>
      </c>
      <c r="Q309" s="241"/>
      <c r="R309" s="147"/>
      <c r="S309" s="236"/>
      <c r="T309" s="391" t="s">
        <v>2525</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3523</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3524</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3525</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4618</v>
      </c>
      <c r="L313" s="776" t="s">
        <v>398</v>
      </c>
      <c r="M313" s="1871" t="s">
        <v>1121</v>
      </c>
      <c r="N313" s="776" t="s">
        <v>1130</v>
      </c>
      <c r="O313" s="982" t="s">
        <v>3526</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3527</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3528</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3529</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3530</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3531</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3532</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3533</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3534</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3535</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3536</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3537</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3538</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2526</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2527</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2528</v>
      </c>
      <c r="U350" s="391" t="s">
        <v>152</v>
      </c>
      <c r="W350" s="44"/>
      <c r="X350" s="44"/>
      <c r="AA350"/>
      <c r="AB350"/>
      <c r="AC350" s="379"/>
      <c r="AD350" s="68"/>
    </row>
    <row r="351" spans="16:30" ht="10.5" customHeight="1">
      <c r="P351" s="241" t="s">
        <v>1688</v>
      </c>
      <c r="Q351" s="241"/>
      <c r="R351" s="147"/>
      <c r="S351" s="236"/>
      <c r="T351" s="391" t="s">
        <v>2529</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3656</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3990</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2530</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2531</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3138</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2532</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2533</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2534</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2535</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2536</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2537</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3258</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2538</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2539</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2540</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2541</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2542</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2543</v>
      </c>
      <c r="U665" s="391" t="s">
        <v>313</v>
      </c>
      <c r="AA665"/>
      <c r="AB665"/>
      <c r="AC665" s="379"/>
      <c r="AD665" s="68"/>
    </row>
    <row r="666" spans="16:30" ht="10.5" customHeight="1">
      <c r="P666" s="241" t="s">
        <v>1745</v>
      </c>
      <c r="Q666" s="241"/>
      <c r="R666" s="147"/>
      <c r="S666" s="236"/>
      <c r="T666" s="391" t="s">
        <v>2544</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2545</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3657</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2546</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3658</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2547</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2548</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2549</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H27" sqref="H27:K27"/>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4203</v>
      </c>
      <c r="C1" s="1651"/>
      <c r="D1" s="1651"/>
      <c r="E1" s="1651" t="s">
        <v>4222</v>
      </c>
      <c r="F1" s="1651"/>
      <c r="G1" s="1652"/>
      <c r="H1" s="1652" t="s">
        <v>4223</v>
      </c>
      <c r="I1" s="1652" t="s">
        <v>4224</v>
      </c>
      <c r="J1" s="1652"/>
      <c r="K1" s="1652" t="s">
        <v>4225</v>
      </c>
      <c r="L1" s="1652" t="s">
        <v>4226</v>
      </c>
      <c r="M1" s="1653" t="s">
        <v>4227</v>
      </c>
      <c r="N1" s="1653" t="s">
        <v>4228</v>
      </c>
      <c r="P1" s="1653" t="s">
        <v>4229</v>
      </c>
      <c r="Y1" s="2474"/>
      <c r="Z1" s="1618">
        <v>1</v>
      </c>
    </row>
    <row r="2" spans="1:52" s="223" customFormat="1" ht="14.1" customHeight="1">
      <c r="A2" s="3000" t="str">
        <f>CONCATENATE("PART TWO - SOURCES OF FUNDS (Proposed)","  -  ",'Part I-Project Identification'!$O$7," ",'Part I-Project Identification'!$F$26,", ",'Part I-Project Identification'!$F$27,", ",'Part I-Project Identification'!$J$27," County")</f>
        <v>PART TWO - SOURCES OF FUNDS (Proposed)  -  2024-0 Lewis Crossing, Atlanta, Fulton County</v>
      </c>
      <c r="B2" s="3001"/>
      <c r="C2" s="3001"/>
      <c r="D2" s="3001"/>
      <c r="E2" s="3001"/>
      <c r="F2" s="3001"/>
      <c r="G2" s="3001"/>
      <c r="H2" s="3001"/>
      <c r="I2" s="3001"/>
      <c r="J2" s="3001"/>
      <c r="K2" s="3001"/>
      <c r="L2" s="3001"/>
      <c r="M2" s="3001"/>
      <c r="N2" s="3001"/>
      <c r="O2" s="3001"/>
      <c r="P2" s="3001"/>
      <c r="Q2" s="3002"/>
      <c r="S2" s="3201" t="str">
        <f>$A$2</f>
        <v>PART TWO - SOURCES OF FUNDS (Proposed)  -  2024-0 Lewis Crossing, Atlanta, Fulton County</v>
      </c>
      <c r="T2" s="3201"/>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2" t="str">
        <f>'Part I-Project Identification'!$A$6</f>
        <v>2024 May 7</v>
      </c>
      <c r="M4" s="3203"/>
      <c r="N4" s="3203"/>
      <c r="O4" s="3203"/>
      <c r="P4" s="3204"/>
      <c r="S4" s="258" t="str">
        <f>B4</f>
        <v>GOVERNMENT FUNDING SOURCES  (check all that apply)</v>
      </c>
      <c r="Y4" s="2475"/>
      <c r="Z4" s="1618">
        <v>4</v>
      </c>
      <c r="AZ4" s="1588"/>
    </row>
    <row r="5" spans="1:52" s="223" customFormat="1" ht="15.75" customHeight="1">
      <c r="A5" s="253"/>
      <c r="B5" s="374"/>
      <c r="C5" s="253"/>
      <c r="D5" s="144"/>
      <c r="E5" s="144"/>
      <c r="F5" s="144"/>
      <c r="G5" s="144"/>
      <c r="S5" s="3154" t="s">
        <v>2441</v>
      </c>
      <c r="T5" s="3154"/>
      <c r="Y5" s="2475"/>
      <c r="Z5" s="1618">
        <v>5</v>
      </c>
      <c r="AZ5" s="1588"/>
    </row>
    <row r="6" spans="1:52" s="223" customFormat="1" ht="16.5" customHeight="1">
      <c r="A6" s="374"/>
      <c r="B6" s="1173" t="s">
        <v>2642</v>
      </c>
      <c r="C6" s="224" t="s">
        <v>2213</v>
      </c>
      <c r="D6" s="144"/>
      <c r="E6" s="1173" t="s">
        <v>2645</v>
      </c>
      <c r="F6" s="224" t="s">
        <v>3980</v>
      </c>
      <c r="G6" s="144"/>
      <c r="I6" s="3205"/>
      <c r="J6" s="3206"/>
      <c r="L6" s="1173" t="s">
        <v>2645</v>
      </c>
      <c r="M6" s="224" t="s">
        <v>1435</v>
      </c>
      <c r="Q6" s="1532"/>
      <c r="S6" s="3111"/>
      <c r="T6" s="3112"/>
      <c r="Y6" s="2475"/>
      <c r="Z6" s="1618">
        <v>6</v>
      </c>
      <c r="AZ6" s="1588"/>
    </row>
    <row r="7" spans="1:52" s="223" customFormat="1" ht="16.5" customHeight="1">
      <c r="A7" s="374"/>
      <c r="B7" s="810" t="s">
        <v>2645</v>
      </c>
      <c r="C7" s="224" t="s">
        <v>3752</v>
      </c>
      <c r="D7" s="144"/>
      <c r="E7" s="805" t="s">
        <v>2645</v>
      </c>
      <c r="F7" s="224" t="s">
        <v>3981</v>
      </c>
      <c r="I7" s="3207"/>
      <c r="J7" s="3208"/>
      <c r="L7" s="810" t="s">
        <v>2645</v>
      </c>
      <c r="M7" s="224" t="s">
        <v>513</v>
      </c>
      <c r="P7" s="1532"/>
      <c r="Q7" s="1532"/>
      <c r="S7" s="3097"/>
      <c r="T7" s="3098"/>
      <c r="Y7" s="2475"/>
      <c r="Z7" s="1618">
        <v>7</v>
      </c>
      <c r="AZ7" s="1588"/>
    </row>
    <row r="8" spans="1:52" s="223" customFormat="1" ht="16.5" customHeight="1">
      <c r="A8" s="144"/>
      <c r="B8" s="810" t="s">
        <v>2645</v>
      </c>
      <c r="C8" s="224" t="s">
        <v>4553</v>
      </c>
      <c r="F8" s="223" t="s">
        <v>4555</v>
      </c>
      <c r="H8" s="3209" t="s">
        <v>2982</v>
      </c>
      <c r="I8" s="3210"/>
      <c r="J8" s="3211"/>
      <c r="L8" s="810" t="s">
        <v>2645</v>
      </c>
      <c r="M8" s="224" t="s">
        <v>4557</v>
      </c>
      <c r="P8" s="1532"/>
      <c r="Q8" s="1532"/>
      <c r="S8" s="3097"/>
      <c r="T8" s="3098"/>
      <c r="Y8" s="2475"/>
      <c r="Z8" s="1618">
        <v>8</v>
      </c>
      <c r="AZ8" s="1588"/>
    </row>
    <row r="9" spans="1:52" s="223" customFormat="1" ht="16.5" customHeight="1">
      <c r="A9" s="374"/>
      <c r="B9" s="810" t="s">
        <v>2645</v>
      </c>
      <c r="C9" s="223" t="s">
        <v>3217</v>
      </c>
      <c r="E9" s="1176" t="s">
        <v>2642</v>
      </c>
      <c r="F9" s="3212" t="s">
        <v>5207</v>
      </c>
      <c r="G9" s="3213"/>
      <c r="H9" s="3192"/>
      <c r="I9" s="3192"/>
      <c r="J9" s="3193"/>
      <c r="L9" s="810" t="s">
        <v>2645</v>
      </c>
      <c r="M9" s="224" t="s">
        <v>3753</v>
      </c>
      <c r="Q9" s="1532"/>
      <c r="S9" s="3099"/>
      <c r="T9" s="3100"/>
      <c r="Y9" s="2475"/>
      <c r="Z9" s="1618">
        <v>9</v>
      </c>
      <c r="AZ9" s="1588"/>
    </row>
    <row r="10" spans="1:52" s="223" customFormat="1" ht="16.5" customHeight="1">
      <c r="A10" s="374"/>
      <c r="B10" s="810" t="s">
        <v>2645</v>
      </c>
      <c r="C10" s="224" t="s">
        <v>2388</v>
      </c>
      <c r="F10" s="3189" t="s">
        <v>5208</v>
      </c>
      <c r="G10" s="3190"/>
      <c r="H10" s="3190"/>
      <c r="I10" s="3190"/>
      <c r="J10" s="3191"/>
      <c r="L10" s="810" t="s">
        <v>2645</v>
      </c>
      <c r="M10" s="224" t="s">
        <v>3109</v>
      </c>
      <c r="P10" s="1532"/>
      <c r="Q10" s="1532"/>
      <c r="S10" s="3111"/>
      <c r="T10" s="3112"/>
      <c r="Y10" s="2475"/>
      <c r="Z10" s="1618">
        <v>10</v>
      </c>
      <c r="AZ10" s="1588"/>
    </row>
    <row r="11" spans="1:52" s="223" customFormat="1" ht="16.5" customHeight="1">
      <c r="A11" s="374"/>
      <c r="B11" s="810" t="s">
        <v>2645</v>
      </c>
      <c r="C11" s="224" t="s">
        <v>2389</v>
      </c>
      <c r="E11" s="1176" t="s">
        <v>2642</v>
      </c>
      <c r="F11" s="3192" t="s">
        <v>5211</v>
      </c>
      <c r="G11" s="3192"/>
      <c r="H11" s="3192"/>
      <c r="I11" s="3192"/>
      <c r="J11" s="3193"/>
      <c r="L11" s="810" t="s">
        <v>2645</v>
      </c>
      <c r="M11" s="223" t="s">
        <v>2392</v>
      </c>
      <c r="S11" s="3097"/>
      <c r="T11" s="3098"/>
      <c r="Y11" s="2475"/>
      <c r="Z11" s="1618">
        <v>11</v>
      </c>
      <c r="AZ11" s="1588"/>
    </row>
    <row r="12" spans="1:52" s="223" customFormat="1" ht="16.5" customHeight="1">
      <c r="A12" s="374"/>
      <c r="B12" s="810" t="s">
        <v>2645</v>
      </c>
      <c r="C12" s="224" t="s">
        <v>3110</v>
      </c>
      <c r="F12" s="3194" t="s">
        <v>5177</v>
      </c>
      <c r="G12" s="3195"/>
      <c r="H12" s="3196"/>
      <c r="I12" s="3196"/>
      <c r="J12" s="3197"/>
      <c r="L12" s="810" t="s">
        <v>2645</v>
      </c>
      <c r="M12" s="223" t="s">
        <v>3136</v>
      </c>
      <c r="S12" s="3097"/>
      <c r="T12" s="3098"/>
      <c r="Y12" s="2475"/>
      <c r="Z12" s="1618">
        <v>12</v>
      </c>
      <c r="AZ12" s="1588"/>
    </row>
    <row r="13" spans="1:52" s="223" customFormat="1" ht="16.5" customHeight="1">
      <c r="A13" s="374"/>
      <c r="B13" s="810" t="s">
        <v>2645</v>
      </c>
      <c r="C13" s="224" t="s">
        <v>4554</v>
      </c>
      <c r="E13" s="1173" t="s">
        <v>2645</v>
      </c>
      <c r="F13" s="224" t="s">
        <v>4556</v>
      </c>
      <c r="H13" s="3194" t="s">
        <v>3208</v>
      </c>
      <c r="I13" s="3195"/>
      <c r="J13" s="3198"/>
      <c r="L13" s="810" t="s">
        <v>2645</v>
      </c>
      <c r="M13" s="223" t="s">
        <v>3979</v>
      </c>
      <c r="S13" s="3097"/>
      <c r="T13" s="3098"/>
      <c r="Y13" s="2475"/>
      <c r="Z13" s="1618">
        <v>13</v>
      </c>
      <c r="AZ13" s="1588"/>
    </row>
    <row r="14" spans="1:52" s="223" customFormat="1" ht="16.5" customHeight="1">
      <c r="A14" s="374"/>
      <c r="B14" s="810" t="s">
        <v>2645</v>
      </c>
      <c r="C14" s="223" t="s">
        <v>2391</v>
      </c>
      <c r="E14" s="810" t="s">
        <v>2645</v>
      </c>
      <c r="F14" s="224" t="s">
        <v>3216</v>
      </c>
      <c r="L14" s="810" t="s">
        <v>2645</v>
      </c>
      <c r="M14" s="223" t="s">
        <v>4602</v>
      </c>
      <c r="S14" s="3099"/>
      <c r="T14" s="3100"/>
      <c r="Y14" s="2475"/>
      <c r="Z14" s="1618">
        <v>14</v>
      </c>
      <c r="AZ14" s="1588"/>
    </row>
    <row r="15" spans="1:52" s="223" customFormat="1" ht="16.5" customHeight="1">
      <c r="A15" s="374"/>
      <c r="B15" s="810" t="s">
        <v>2645</v>
      </c>
      <c r="C15" s="223" t="s">
        <v>3135</v>
      </c>
      <c r="E15" s="810" t="s">
        <v>2645</v>
      </c>
      <c r="F15" s="224" t="s">
        <v>3982</v>
      </c>
      <c r="L15" s="810" t="s">
        <v>2642</v>
      </c>
      <c r="M15" s="1533" t="s">
        <v>3983</v>
      </c>
      <c r="Y15" s="2475"/>
      <c r="Z15" s="1618">
        <v>15</v>
      </c>
      <c r="AZ15" s="1588"/>
    </row>
    <row r="16" spans="1:52" s="223" customFormat="1" ht="16.5" customHeight="1">
      <c r="A16" s="374"/>
      <c r="B16" s="805" t="s">
        <v>2645</v>
      </c>
      <c r="C16" s="224" t="s">
        <v>1668</v>
      </c>
      <c r="E16" s="805" t="s">
        <v>2645</v>
      </c>
      <c r="F16" s="224" t="s">
        <v>4396</v>
      </c>
      <c r="I16" s="3199"/>
      <c r="J16" s="3200"/>
      <c r="L16" s="805" t="s">
        <v>2645</v>
      </c>
      <c r="M16" s="1533" t="s">
        <v>3978</v>
      </c>
      <c r="Y16" s="2475"/>
      <c r="Z16" s="1618">
        <v>16</v>
      </c>
      <c r="AZ16" s="1588"/>
    </row>
    <row r="17" spans="1:52" s="223" customFormat="1" ht="17.100000000000001" customHeight="1">
      <c r="A17" s="374"/>
      <c r="B17" s="223" t="s">
        <v>3754</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9"/>
      <c r="O19" s="314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4" t="s">
        <v>1218</v>
      </c>
      <c r="I21" s="3174"/>
      <c r="J21" s="3174"/>
      <c r="K21" s="3174"/>
      <c r="L21" s="3153" t="s">
        <v>3720</v>
      </c>
      <c r="M21" s="3153"/>
      <c r="N21" s="3153" t="s">
        <v>1408</v>
      </c>
      <c r="O21" s="3153"/>
      <c r="P21" s="3153" t="s">
        <v>1521</v>
      </c>
      <c r="Q21" s="3153"/>
      <c r="S21" s="3154" t="s">
        <v>2441</v>
      </c>
      <c r="T21" s="3154"/>
      <c r="Y21" s="2475"/>
      <c r="Z21" s="1618">
        <v>21</v>
      </c>
      <c r="AZ21" s="1588" t="s">
        <v>4237</v>
      </c>
    </row>
    <row r="22" spans="1:52" s="223" customFormat="1" ht="15.75" customHeight="1">
      <c r="A22" s="144"/>
      <c r="B22" s="3143" t="s">
        <v>1484</v>
      </c>
      <c r="C22" s="3144"/>
      <c r="D22" s="3144"/>
      <c r="E22" s="808"/>
      <c r="F22" s="808"/>
      <c r="G22" s="808"/>
      <c r="H22" s="3106" t="s">
        <v>5178</v>
      </c>
      <c r="I22" s="3107"/>
      <c r="J22" s="3107"/>
      <c r="K22" s="3108"/>
      <c r="L22" s="3183">
        <v>17300000</v>
      </c>
      <c r="M22" s="3184"/>
      <c r="N22" s="3185">
        <v>8.7499999999999994E-2</v>
      </c>
      <c r="O22" s="3186"/>
      <c r="P22" s="3187">
        <v>30</v>
      </c>
      <c r="Q22" s="3188"/>
      <c r="S22" s="3111"/>
      <c r="T22" s="3112"/>
      <c r="Y22" s="2475" t="s">
        <v>4237</v>
      </c>
      <c r="Z22" s="1618">
        <v>22</v>
      </c>
      <c r="AZ22" s="1588" t="s">
        <v>4238</v>
      </c>
    </row>
    <row r="23" spans="1:52" s="223" customFormat="1" ht="15.75" customHeight="1">
      <c r="A23" s="144"/>
      <c r="B23" s="3113" t="s">
        <v>1485</v>
      </c>
      <c r="C23" s="3114"/>
      <c r="D23" s="3114"/>
      <c r="E23" s="144"/>
      <c r="F23" s="144"/>
      <c r="G23" s="144"/>
      <c r="H23" s="3079" t="s">
        <v>5182</v>
      </c>
      <c r="I23" s="3080"/>
      <c r="J23" s="3080"/>
      <c r="K23" s="3081"/>
      <c r="L23" s="3163">
        <v>500000</v>
      </c>
      <c r="M23" s="3164"/>
      <c r="N23" s="3172">
        <v>0.04</v>
      </c>
      <c r="O23" s="3173"/>
      <c r="P23" s="3175">
        <v>30</v>
      </c>
      <c r="Q23" s="3176"/>
      <c r="S23" s="3097"/>
      <c r="T23" s="3098"/>
      <c r="Y23" s="2475" t="s">
        <v>4238</v>
      </c>
      <c r="Z23" s="1618">
        <v>23</v>
      </c>
      <c r="AZ23" s="1588" t="s">
        <v>4239</v>
      </c>
    </row>
    <row r="24" spans="1:52" s="223" customFormat="1" ht="15.75" customHeight="1">
      <c r="A24" s="144"/>
      <c r="B24" s="3177" t="s">
        <v>1486</v>
      </c>
      <c r="C24" s="3178"/>
      <c r="D24" s="3178"/>
      <c r="E24" s="813"/>
      <c r="F24" s="813"/>
      <c r="G24" s="813"/>
      <c r="H24" s="3087"/>
      <c r="I24" s="3088"/>
      <c r="J24" s="3088"/>
      <c r="K24" s="3089"/>
      <c r="L24" s="3155"/>
      <c r="M24" s="3156"/>
      <c r="N24" s="3179"/>
      <c r="O24" s="3180"/>
      <c r="P24" s="3181"/>
      <c r="Q24" s="3182"/>
      <c r="S24" s="3097"/>
      <c r="T24" s="3098"/>
      <c r="Y24" s="2475" t="s">
        <v>4239</v>
      </c>
      <c r="Z24" s="1618">
        <v>24</v>
      </c>
      <c r="AZ24" s="1588" t="s">
        <v>4240</v>
      </c>
    </row>
    <row r="25" spans="1:52" s="223" customFormat="1" ht="15.75" customHeight="1">
      <c r="A25" s="144"/>
      <c r="B25" s="3143" t="s">
        <v>2042</v>
      </c>
      <c r="C25" s="3144"/>
      <c r="D25" s="3144"/>
      <c r="E25" s="144"/>
      <c r="F25" s="144"/>
      <c r="G25" s="144"/>
      <c r="H25" s="3167"/>
      <c r="I25" s="3168"/>
      <c r="J25" s="3168"/>
      <c r="K25" s="3169"/>
      <c r="L25" s="3170"/>
      <c r="M25" s="3171"/>
      <c r="N25" s="3165"/>
      <c r="O25" s="3166"/>
      <c r="P25" s="3149"/>
      <c r="Q25" s="3149"/>
      <c r="S25" s="3097"/>
      <c r="T25" s="3098"/>
      <c r="Y25" s="2475" t="s">
        <v>4240</v>
      </c>
      <c r="Z25" s="1618">
        <v>25</v>
      </c>
      <c r="AZ25" s="1588" t="s">
        <v>4241</v>
      </c>
    </row>
    <row r="26" spans="1:52" s="223" customFormat="1" ht="15.75" customHeight="1">
      <c r="A26" s="144"/>
      <c r="B26" s="3113" t="s">
        <v>744</v>
      </c>
      <c r="C26" s="3114"/>
      <c r="D26" s="3114"/>
      <c r="E26" s="144"/>
      <c r="H26" s="3079" t="s">
        <v>5212</v>
      </c>
      <c r="I26" s="3080"/>
      <c r="J26" s="3080"/>
      <c r="K26" s="3081"/>
      <c r="L26" s="3163">
        <v>1000000</v>
      </c>
      <c r="M26" s="3164"/>
      <c r="N26" s="3165"/>
      <c r="O26" s="3166"/>
      <c r="P26" s="3149"/>
      <c r="Q26" s="3149"/>
      <c r="S26" s="3097"/>
      <c r="T26" s="3098"/>
      <c r="Y26" s="2475" t="s">
        <v>4241</v>
      </c>
      <c r="Z26" s="1618">
        <v>26</v>
      </c>
      <c r="AZ26" s="1588" t="s">
        <v>4242</v>
      </c>
    </row>
    <row r="27" spans="1:52" s="223" customFormat="1" ht="15.75" customHeight="1">
      <c r="A27" s="144"/>
      <c r="B27" s="3113" t="s">
        <v>594</v>
      </c>
      <c r="C27" s="3114"/>
      <c r="D27" s="3114"/>
      <c r="E27" s="144"/>
      <c r="H27" s="3079" t="s">
        <v>5180</v>
      </c>
      <c r="I27" s="3080"/>
      <c r="J27" s="3080"/>
      <c r="K27" s="3081"/>
      <c r="L27" s="3163">
        <v>277635</v>
      </c>
      <c r="M27" s="3164"/>
      <c r="N27" s="3165"/>
      <c r="O27" s="3166"/>
      <c r="P27" s="3149"/>
      <c r="Q27" s="3149"/>
      <c r="S27" s="3097"/>
      <c r="T27" s="3098"/>
      <c r="Y27" s="2475" t="s">
        <v>4242</v>
      </c>
      <c r="Z27" s="1618">
        <v>27</v>
      </c>
      <c r="AZ27" s="1588" t="s">
        <v>4243</v>
      </c>
    </row>
    <row r="28" spans="1:52" s="223" customFormat="1" ht="15.75" customHeight="1">
      <c r="A28" s="144"/>
      <c r="B28" s="3113" t="s">
        <v>745</v>
      </c>
      <c r="C28" s="3114"/>
      <c r="D28" s="3114"/>
      <c r="E28" s="144"/>
      <c r="H28" s="3079" t="s">
        <v>5178</v>
      </c>
      <c r="I28" s="3080"/>
      <c r="J28" s="3080"/>
      <c r="K28" s="3081"/>
      <c r="L28" s="3163">
        <v>1147385</v>
      </c>
      <c r="M28" s="3164"/>
      <c r="N28" s="144"/>
      <c r="Q28" s="144"/>
      <c r="S28" s="3099"/>
      <c r="T28" s="3100"/>
      <c r="Y28" s="2475" t="s">
        <v>4243</v>
      </c>
      <c r="Z28" s="1618">
        <v>28</v>
      </c>
      <c r="AZ28" s="1588" t="s">
        <v>4244</v>
      </c>
    </row>
    <row r="29" spans="1:52" s="223" customFormat="1" ht="15.75" customHeight="1">
      <c r="A29" s="144"/>
      <c r="B29" s="3113" t="s">
        <v>746</v>
      </c>
      <c r="C29" s="3114"/>
      <c r="D29" s="3114"/>
      <c r="E29" s="144"/>
      <c r="H29" s="3079" t="s">
        <v>5178</v>
      </c>
      <c r="I29" s="3080"/>
      <c r="J29" s="3080"/>
      <c r="K29" s="3081"/>
      <c r="L29" s="3163">
        <v>661500</v>
      </c>
      <c r="M29" s="3164"/>
      <c r="N29" s="144"/>
      <c r="Q29" s="144"/>
      <c r="S29" s="3111"/>
      <c r="T29" s="3112"/>
      <c r="Y29" s="2475" t="s">
        <v>4244</v>
      </c>
      <c r="Z29" s="1618">
        <v>29</v>
      </c>
      <c r="AZ29" s="1588" t="s">
        <v>4245</v>
      </c>
    </row>
    <row r="30" spans="1:52" s="223" customFormat="1" ht="15.75" customHeight="1">
      <c r="A30" s="144"/>
      <c r="B30" s="807" t="s">
        <v>232</v>
      </c>
      <c r="C30" s="144"/>
      <c r="D30" s="3101"/>
      <c r="E30" s="3101"/>
      <c r="F30" s="3101"/>
      <c r="G30" s="3101"/>
      <c r="H30" s="3079"/>
      <c r="I30" s="3080"/>
      <c r="J30" s="3080"/>
      <c r="K30" s="3081"/>
      <c r="L30" s="3163"/>
      <c r="M30" s="3164"/>
      <c r="N30" s="144"/>
      <c r="Q30" s="144"/>
      <c r="S30" s="3097"/>
      <c r="T30" s="3098"/>
      <c r="Y30" s="2475" t="s">
        <v>4245</v>
      </c>
      <c r="Z30" s="1618">
        <v>30</v>
      </c>
      <c r="AZ30" s="1588" t="s">
        <v>4246</v>
      </c>
    </row>
    <row r="31" spans="1:52" s="223" customFormat="1" ht="15.75" customHeight="1">
      <c r="A31" s="144"/>
      <c r="B31" s="807" t="s">
        <v>232</v>
      </c>
      <c r="C31" s="144"/>
      <c r="D31" s="3102"/>
      <c r="E31" s="3102"/>
      <c r="F31" s="3102"/>
      <c r="G31" s="3102"/>
      <c r="H31" s="3079"/>
      <c r="I31" s="3080"/>
      <c r="J31" s="3080"/>
      <c r="K31" s="3081"/>
      <c r="L31" s="3163"/>
      <c r="M31" s="3164"/>
      <c r="N31" s="144"/>
      <c r="S31" s="3097"/>
      <c r="T31" s="3098"/>
      <c r="Y31" s="2475" t="s">
        <v>4246</v>
      </c>
      <c r="Z31" s="1618">
        <v>31</v>
      </c>
      <c r="AZ31" s="1588" t="s">
        <v>4247</v>
      </c>
    </row>
    <row r="32" spans="1:52" s="223" customFormat="1" ht="15.75" customHeight="1">
      <c r="A32" s="144"/>
      <c r="B32" s="812" t="s">
        <v>232</v>
      </c>
      <c r="C32" s="813"/>
      <c r="D32" s="3086"/>
      <c r="E32" s="3086"/>
      <c r="F32" s="3086"/>
      <c r="G32" s="3086"/>
      <c r="H32" s="3087"/>
      <c r="I32" s="3088"/>
      <c r="J32" s="3088"/>
      <c r="K32" s="3089"/>
      <c r="L32" s="3155"/>
      <c r="M32" s="3156"/>
      <c r="N32" s="144"/>
      <c r="S32" s="3097"/>
      <c r="T32" s="3098"/>
      <c r="Y32" s="2475" t="s">
        <v>4247</v>
      </c>
      <c r="Z32" s="1618">
        <v>32</v>
      </c>
      <c r="AZ32" s="1588"/>
    </row>
    <row r="33" spans="1:52" s="223" customFormat="1" ht="16.5" customHeight="1">
      <c r="A33" s="144"/>
      <c r="B33" s="222" t="s">
        <v>1219</v>
      </c>
      <c r="C33" s="144"/>
      <c r="D33" s="144"/>
      <c r="E33" s="144"/>
      <c r="F33" s="144"/>
      <c r="G33" s="144"/>
      <c r="H33" s="144"/>
      <c r="I33" s="144"/>
      <c r="L33" s="3157">
        <f>SUM(L22:L32)</f>
        <v>20886520</v>
      </c>
      <c r="M33" s="3158"/>
      <c r="N33" s="145"/>
      <c r="S33" s="3097"/>
      <c r="T33" s="3098"/>
      <c r="Y33" s="2475"/>
      <c r="Z33" s="1618">
        <v>33</v>
      </c>
      <c r="AZ33" s="1588"/>
    </row>
    <row r="34" spans="1:52" s="223" customFormat="1" ht="16.5" customHeight="1">
      <c r="A34" s="144"/>
      <c r="B34" s="246" t="s">
        <v>1220</v>
      </c>
      <c r="C34" s="144"/>
      <c r="D34" s="144"/>
      <c r="E34" s="144"/>
      <c r="F34" s="144"/>
      <c r="G34" s="144"/>
      <c r="H34" s="144"/>
      <c r="I34" s="144"/>
      <c r="L34" s="3159">
        <f>'Part III-A-Uses of Funds'!$G$146-'Part III-A-Uses of Funds'!$G$103-'Part III-A-Uses of Funds'!$G$109-'Part III-A-Uses of Funds'!$G$130-'Part III-A-Uses of Funds'!$G$131-'Part III-A-Uses of Funds'!$G$132-'Part III-A-Uses of Funds'!$G$127+'Part III-A-Uses of Funds'!$F$123</f>
        <v>20886520</v>
      </c>
      <c r="M34" s="3160"/>
      <c r="N34" s="645"/>
      <c r="S34" s="3097"/>
      <c r="T34" s="3098"/>
      <c r="Y34" s="2475"/>
      <c r="Z34" s="1618">
        <v>34</v>
      </c>
      <c r="AZ34" s="1588"/>
    </row>
    <row r="35" spans="1:52" s="223" customFormat="1" ht="16.5" customHeight="1">
      <c r="A35" s="144"/>
      <c r="B35" s="246" t="s">
        <v>1997</v>
      </c>
      <c r="C35" s="144"/>
      <c r="D35" s="144"/>
      <c r="E35" s="144"/>
      <c r="F35" s="144"/>
      <c r="G35" s="144"/>
      <c r="H35" s="144"/>
      <c r="I35" s="144"/>
      <c r="L35" s="3161">
        <f>L33-L34</f>
        <v>0</v>
      </c>
      <c r="M35" s="3162"/>
      <c r="N35" s="645"/>
      <c r="S35" s="3099"/>
      <c r="T35" s="3100"/>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9"/>
      <c r="I38" s="3149"/>
      <c r="K38" s="252" t="s">
        <v>1943</v>
      </c>
      <c r="L38" s="248" t="s">
        <v>1216</v>
      </c>
      <c r="M38" s="248" t="s">
        <v>1221</v>
      </c>
      <c r="P38" s="3150" t="s">
        <v>31</v>
      </c>
      <c r="Q38" s="3150"/>
      <c r="S38" s="258"/>
      <c r="Y38" s="2475"/>
      <c r="Z38" s="1618">
        <v>38</v>
      </c>
      <c r="AZ38" s="1588"/>
    </row>
    <row r="39" spans="1:52" s="223" customFormat="1" ht="13.35" customHeight="1">
      <c r="A39" s="144"/>
      <c r="B39" s="814" t="s">
        <v>1729</v>
      </c>
      <c r="C39" s="813"/>
      <c r="D39" s="813"/>
      <c r="E39" s="3152" t="s">
        <v>1218</v>
      </c>
      <c r="F39" s="3152"/>
      <c r="G39" s="3152"/>
      <c r="H39" s="3152"/>
      <c r="I39" s="3153" t="s">
        <v>3719</v>
      </c>
      <c r="J39" s="3153"/>
      <c r="K39" s="445" t="s">
        <v>1670</v>
      </c>
      <c r="L39" s="445" t="s">
        <v>2041</v>
      </c>
      <c r="M39" s="445" t="s">
        <v>2041</v>
      </c>
      <c r="N39" s="3153" t="s">
        <v>69</v>
      </c>
      <c r="O39" s="3153"/>
      <c r="P39" s="3151"/>
      <c r="Q39" s="3151"/>
      <c r="S39" s="3154" t="s">
        <v>2441</v>
      </c>
      <c r="T39" s="3154"/>
      <c r="Y39" s="2475"/>
      <c r="Z39" s="1618">
        <v>39</v>
      </c>
      <c r="AZ39" s="1588" t="s">
        <v>4248</v>
      </c>
    </row>
    <row r="40" spans="1:52" s="223" customFormat="1" ht="15" customHeight="1">
      <c r="A40" s="144"/>
      <c r="B40" s="3143" t="s">
        <v>2396</v>
      </c>
      <c r="C40" s="3144"/>
      <c r="D40" s="3144"/>
      <c r="E40" s="3106" t="s">
        <v>5178</v>
      </c>
      <c r="F40" s="3107"/>
      <c r="G40" s="3107"/>
      <c r="H40" s="3108"/>
      <c r="I40" s="3145">
        <v>2200000</v>
      </c>
      <c r="J40" s="3146"/>
      <c r="K40" s="642">
        <v>7.7499999999999999E-2</v>
      </c>
      <c r="L40" s="809">
        <v>15</v>
      </c>
      <c r="M40" s="809">
        <v>40</v>
      </c>
      <c r="N40" s="3147" t="s">
        <v>5181</v>
      </c>
      <c r="O40" s="3147"/>
      <c r="P40" s="3148">
        <f>IF(OR(I40&lt;=0,I40=""),"",IF(N40="Cash Flow",0,IF(N40="Amortizing",-PMT(K40/12,M40*12,I40,0,0)*12,"")))</f>
        <v>178627.64290489111</v>
      </c>
      <c r="Q40" s="3148"/>
      <c r="S40" s="3111"/>
      <c r="T40" s="3112"/>
      <c r="Y40" s="2475" t="s">
        <v>4248</v>
      </c>
      <c r="Z40" s="1618">
        <v>40</v>
      </c>
      <c r="AZ40" s="1588" t="s">
        <v>4249</v>
      </c>
    </row>
    <row r="41" spans="1:52" s="223" customFormat="1" ht="15" customHeight="1">
      <c r="A41" s="144"/>
      <c r="B41" s="3113" t="s">
        <v>2397</v>
      </c>
      <c r="C41" s="3114"/>
      <c r="D41" s="3114"/>
      <c r="E41" s="3079" t="s">
        <v>5182</v>
      </c>
      <c r="F41" s="3080"/>
      <c r="G41" s="3080"/>
      <c r="H41" s="3081"/>
      <c r="I41" s="3082">
        <v>500000</v>
      </c>
      <c r="J41" s="3116"/>
      <c r="K41" s="643">
        <v>0.04</v>
      </c>
      <c r="L41" s="810">
        <v>20</v>
      </c>
      <c r="M41" s="810">
        <v>20</v>
      </c>
      <c r="N41" s="3142" t="s">
        <v>1095</v>
      </c>
      <c r="O41" s="3142"/>
      <c r="P41" s="3133">
        <f>-'Part VI-Pro Forma'!B27</f>
        <v>11841.889273777211</v>
      </c>
      <c r="Q41" s="3133"/>
      <c r="S41" s="3097"/>
      <c r="T41" s="3098"/>
      <c r="Y41" s="2475" t="s">
        <v>4249</v>
      </c>
      <c r="Z41" s="1618">
        <v>41</v>
      </c>
      <c r="AZ41" s="1588" t="s">
        <v>4250</v>
      </c>
    </row>
    <row r="42" spans="1:52" s="223" customFormat="1" ht="15" customHeight="1">
      <c r="A42" s="144"/>
      <c r="B42" s="3113" t="s">
        <v>2398</v>
      </c>
      <c r="C42" s="3114"/>
      <c r="D42" s="3114"/>
      <c r="E42" s="3079"/>
      <c r="F42" s="3080"/>
      <c r="G42" s="3080"/>
      <c r="H42" s="3081"/>
      <c r="I42" s="3082"/>
      <c r="J42" s="3116"/>
      <c r="K42" s="643"/>
      <c r="L42" s="810"/>
      <c r="M42" s="810"/>
      <c r="N42" s="3142"/>
      <c r="O42" s="3142"/>
      <c r="P42" s="3133"/>
      <c r="Q42" s="3133"/>
      <c r="S42" s="3097"/>
      <c r="T42" s="3098"/>
      <c r="Y42" s="2475" t="s">
        <v>4250</v>
      </c>
      <c r="Z42" s="1618">
        <v>42</v>
      </c>
      <c r="AZ42" s="1588" t="s">
        <v>4251</v>
      </c>
    </row>
    <row r="43" spans="1:52" s="223" customFormat="1" ht="15" customHeight="1">
      <c r="A43" s="144"/>
      <c r="B43" s="807" t="s">
        <v>689</v>
      </c>
      <c r="C43" s="3134"/>
      <c r="D43" s="3135"/>
      <c r="E43" s="3079"/>
      <c r="F43" s="3080"/>
      <c r="G43" s="3080"/>
      <c r="H43" s="3081"/>
      <c r="I43" s="3136"/>
      <c r="J43" s="3137"/>
      <c r="K43" s="644"/>
      <c r="L43" s="805"/>
      <c r="M43" s="805"/>
      <c r="N43" s="3138"/>
      <c r="O43" s="3138"/>
      <c r="P43" s="3139" t="str">
        <f>IF(OR(I43&lt;=0,I43=""),"",IF(N43="Cash Flow",0,IF(N43="Amortizing",-PMT(K43/12,M43*12,I43,0,0)*12,"")))</f>
        <v/>
      </c>
      <c r="Q43" s="3139"/>
      <c r="S43" s="3097"/>
      <c r="T43" s="3098"/>
      <c r="Y43" s="2475" t="s">
        <v>4251</v>
      </c>
      <c r="Z43" s="1618">
        <v>43</v>
      </c>
      <c r="AZ43" s="1588" t="s">
        <v>4252</v>
      </c>
    </row>
    <row r="44" spans="1:52" s="223" customFormat="1" ht="15" customHeight="1">
      <c r="A44" s="144"/>
      <c r="B44" s="807" t="s">
        <v>3818</v>
      </c>
      <c r="C44" s="144"/>
      <c r="D44" s="811"/>
      <c r="E44" s="3079"/>
      <c r="F44" s="3080"/>
      <c r="G44" s="3080"/>
      <c r="H44" s="3081"/>
      <c r="I44" s="3082"/>
      <c r="J44" s="3116"/>
      <c r="K44" s="363"/>
      <c r="L44" s="806"/>
      <c r="M44" s="806"/>
      <c r="N44" s="3140"/>
      <c r="O44" s="3140"/>
      <c r="P44" s="3141"/>
      <c r="Q44" s="3141"/>
      <c r="S44" s="3097"/>
      <c r="T44" s="3098"/>
      <c r="Y44" s="2475" t="s">
        <v>4252</v>
      </c>
      <c r="Z44" s="1618">
        <v>44</v>
      </c>
      <c r="AZ44" s="1588" t="s">
        <v>4253</v>
      </c>
    </row>
    <row r="45" spans="1:52" s="223" customFormat="1" ht="15" customHeight="1">
      <c r="A45" s="144"/>
      <c r="B45" s="812" t="s">
        <v>220</v>
      </c>
      <c r="C45" s="813"/>
      <c r="D45" s="300">
        <f>IF(OR(I45="",I45=0,'Part III-A-Uses of Funds'!$G$127="",'Part III-A-Uses of Funds'!$G$127=0),"",I45/'Part III-A-Uses of Funds'!$G$127)</f>
        <v>0.19625163636363635</v>
      </c>
      <c r="E45" s="3087" t="s">
        <v>5183</v>
      </c>
      <c r="F45" s="3088"/>
      <c r="G45" s="3088"/>
      <c r="H45" s="3089"/>
      <c r="I45" s="3121">
        <v>269846</v>
      </c>
      <c r="J45" s="3122"/>
      <c r="K45" s="641">
        <v>0</v>
      </c>
      <c r="L45" s="640">
        <v>15</v>
      </c>
      <c r="M45" s="640">
        <v>0</v>
      </c>
      <c r="N45" s="2969" t="s">
        <v>1095</v>
      </c>
      <c r="O45" s="2970"/>
      <c r="P45" s="3123">
        <f>-'Part VI-Pro Forma'!B32</f>
        <v>17989.73</v>
      </c>
      <c r="Q45" s="3124"/>
      <c r="S45" s="3097"/>
      <c r="T45" s="3098"/>
      <c r="Y45" s="2475" t="s">
        <v>4253</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7"/>
      <c r="T46" s="3098"/>
      <c r="Y46" s="2475"/>
      <c r="Z46" s="1618">
        <v>46</v>
      </c>
      <c r="AZ46" s="1588"/>
    </row>
    <row r="47" spans="1:52" s="223" customFormat="1" ht="15" customHeight="1">
      <c r="A47" s="144"/>
      <c r="B47" s="223" t="s">
        <v>3318</v>
      </c>
      <c r="C47" s="144"/>
      <c r="E47" s="223" t="s">
        <v>3276</v>
      </c>
      <c r="F47" s="3125">
        <f>IF(OR($I$45="",$I$45=0,'Part VI-Pro Forma'!$S$35=0,'Part VI-Pro Forma'!$S$35=""),"",VLOOKUP($L$45,'Part VI-Pro Forma'!$Q$21:$S$40,3))</f>
        <v>650816.92000480951</v>
      </c>
      <c r="G47" s="3126"/>
      <c r="H47" s="484" t="s">
        <v>3317</v>
      </c>
      <c r="I47" s="3125">
        <f>IF(OR($I$45="",$I$45=0,'Part VI-Pro Forma'!$R$35=0,'Part VI-Pro Forma'!$R$35=""),"",VLOOKUP($L$45,'Part VI-Pro Forma'!$Q$21:$S$35,2))</f>
        <v>269845.95</v>
      </c>
      <c r="J47" s="3126"/>
      <c r="K47" s="484" t="s">
        <v>3319</v>
      </c>
      <c r="L47" s="3127">
        <f>IF(OR($F$47 = 0,$F$47 =""),"",$I$47/$F$47)</f>
        <v>0.41462651278028523</v>
      </c>
      <c r="M47" s="3128"/>
      <c r="N47" s="3129" t="s">
        <v>3723</v>
      </c>
      <c r="O47" s="3130"/>
      <c r="P47" s="3131">
        <f>IF(OR($I$62=0,$I$60&gt;$I$61),0,ABS($I$60-$I$61))</f>
        <v>0</v>
      </c>
      <c r="Q47" s="3132"/>
      <c r="S47" s="3097"/>
      <c r="T47" s="3098"/>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9"/>
      <c r="T48" s="3100"/>
      <c r="Y48" s="2475"/>
      <c r="Z48" s="1618">
        <v>48</v>
      </c>
      <c r="AZ48" s="1588" t="s">
        <v>4254</v>
      </c>
    </row>
    <row r="49" spans="1:52" s="223" customFormat="1" ht="15" customHeight="1">
      <c r="A49" s="144"/>
      <c r="B49" s="3103" t="s">
        <v>2042</v>
      </c>
      <c r="C49" s="3104"/>
      <c r="D49" s="3105"/>
      <c r="E49" s="3106"/>
      <c r="F49" s="3107"/>
      <c r="G49" s="3107"/>
      <c r="H49" s="3108"/>
      <c r="I49" s="3109"/>
      <c r="J49" s="3110"/>
      <c r="K49" s="144"/>
      <c r="L49" s="144"/>
      <c r="M49" s="144"/>
      <c r="N49" s="144"/>
      <c r="O49" s="144"/>
      <c r="P49" s="248" t="s">
        <v>482</v>
      </c>
      <c r="Q49" s="144"/>
      <c r="S49" s="3111"/>
      <c r="T49" s="3112"/>
      <c r="Y49" s="2475" t="s">
        <v>4254</v>
      </c>
      <c r="Z49" s="1618">
        <v>49</v>
      </c>
      <c r="AZ49" s="1588" t="s">
        <v>4255</v>
      </c>
    </row>
    <row r="50" spans="1:52" s="223" customFormat="1" ht="15" customHeight="1">
      <c r="A50" s="144"/>
      <c r="B50" s="3113" t="s">
        <v>744</v>
      </c>
      <c r="C50" s="3114"/>
      <c r="D50" s="3115"/>
      <c r="E50" s="3079" t="s">
        <v>5179</v>
      </c>
      <c r="F50" s="3080"/>
      <c r="G50" s="3080"/>
      <c r="H50" s="3081"/>
      <c r="I50" s="3082">
        <v>1000000</v>
      </c>
      <c r="J50" s="3116"/>
      <c r="L50" s="3117" t="s">
        <v>483</v>
      </c>
      <c r="M50" s="3117"/>
      <c r="N50" s="3118" t="s">
        <v>484</v>
      </c>
      <c r="O50" s="3118"/>
      <c r="P50" s="313" t="s">
        <v>2351</v>
      </c>
      <c r="Q50" s="144"/>
      <c r="S50" s="3097"/>
      <c r="T50" s="3098"/>
      <c r="Y50" s="2475" t="s">
        <v>4255</v>
      </c>
      <c r="Z50" s="1618">
        <v>50</v>
      </c>
      <c r="AZ50" s="1588" t="s">
        <v>4256</v>
      </c>
    </row>
    <row r="51" spans="1:52" s="223" customFormat="1" ht="15" customHeight="1">
      <c r="A51" s="144"/>
      <c r="B51" s="3113" t="s">
        <v>745</v>
      </c>
      <c r="C51" s="3114"/>
      <c r="D51" s="3115"/>
      <c r="E51" s="3079" t="s">
        <v>5178</v>
      </c>
      <c r="F51" s="3080"/>
      <c r="G51" s="3080"/>
      <c r="H51" s="3081"/>
      <c r="I51" s="3082">
        <v>11473853</v>
      </c>
      <c r="J51" s="3082"/>
      <c r="L51" s="3119">
        <f>'Part III-A-Uses of Funds'!$J$191*10*'Part III-A-Uses of Funds'!$N$182</f>
        <v>11475000</v>
      </c>
      <c r="M51" s="3119"/>
      <c r="N51" s="3120">
        <f>I51-L51</f>
        <v>-1147</v>
      </c>
      <c r="O51" s="3120"/>
      <c r="P51" s="323">
        <f>I51/I61</f>
        <v>0.51965038684196119</v>
      </c>
      <c r="Q51" s="144"/>
      <c r="S51" s="3097"/>
      <c r="T51" s="3098"/>
      <c r="Y51" s="2475" t="s">
        <v>4256</v>
      </c>
      <c r="Z51" s="1618">
        <v>51</v>
      </c>
      <c r="AZ51" s="1588" t="s">
        <v>4257</v>
      </c>
    </row>
    <row r="52" spans="1:52" s="223" customFormat="1" ht="15" customHeight="1">
      <c r="A52" s="144"/>
      <c r="B52" s="3113" t="s">
        <v>746</v>
      </c>
      <c r="C52" s="3114"/>
      <c r="D52" s="3115"/>
      <c r="E52" s="3079" t="s">
        <v>5178</v>
      </c>
      <c r="F52" s="3080"/>
      <c r="G52" s="3080"/>
      <c r="H52" s="3081"/>
      <c r="I52" s="3082">
        <v>6615000</v>
      </c>
      <c r="J52" s="3082"/>
      <c r="L52" s="3119">
        <f>'Part III-A-Uses of Funds'!$J$191*10*'Part III-A-Uses of Funds'!$Q$182</f>
        <v>6615000</v>
      </c>
      <c r="M52" s="3119"/>
      <c r="N52" s="3120">
        <f>I52-L52</f>
        <v>0</v>
      </c>
      <c r="O52" s="3120"/>
      <c r="P52" s="323">
        <f>I52/I61</f>
        <v>0.29959311043636111</v>
      </c>
      <c r="Q52" s="144"/>
      <c r="S52" s="3097"/>
      <c r="T52" s="3098"/>
      <c r="Y52" s="2475" t="s">
        <v>4257</v>
      </c>
      <c r="Z52" s="1618">
        <v>52</v>
      </c>
      <c r="AZ52" s="1588" t="s">
        <v>4258</v>
      </c>
    </row>
    <row r="53" spans="1:52" s="223" customFormat="1" ht="15" customHeight="1">
      <c r="A53" s="144"/>
      <c r="B53" s="3113" t="s">
        <v>1329</v>
      </c>
      <c r="C53" s="3114"/>
      <c r="D53" s="3115"/>
      <c r="E53" s="3079"/>
      <c r="F53" s="3080"/>
      <c r="G53" s="3080"/>
      <c r="H53" s="3081"/>
      <c r="I53" s="3082"/>
      <c r="J53" s="3082"/>
      <c r="P53" s="324">
        <f>SUM(P51:P52)</f>
        <v>0.81924349727832224</v>
      </c>
      <c r="Q53" s="144"/>
      <c r="S53" s="3099"/>
      <c r="T53" s="3100"/>
      <c r="Y53" s="2475" t="s">
        <v>4258</v>
      </c>
      <c r="Z53" s="1618">
        <v>53</v>
      </c>
      <c r="AZ53" s="1588"/>
    </row>
    <row r="54" spans="1:52" s="223" customFormat="1" ht="15" customHeight="1">
      <c r="A54" s="144"/>
      <c r="B54" s="807" t="s">
        <v>496</v>
      </c>
      <c r="C54" s="144"/>
      <c r="D54" s="811"/>
      <c r="E54" s="3079"/>
      <c r="F54" s="3080"/>
      <c r="G54" s="3080"/>
      <c r="H54" s="3081"/>
      <c r="I54" s="3082"/>
      <c r="J54" s="3082"/>
      <c r="K54" s="144"/>
      <c r="Q54" s="144"/>
      <c r="S54" s="3097"/>
      <c r="T54" s="3098"/>
      <c r="Y54" s="2475"/>
      <c r="Z54" s="1618">
        <v>54</v>
      </c>
      <c r="AZ54" s="1588"/>
    </row>
    <row r="55" spans="1:52" s="223" customFormat="1" ht="15" customHeight="1">
      <c r="A55" s="144"/>
      <c r="B55" s="807" t="s">
        <v>1727</v>
      </c>
      <c r="C55" s="144"/>
      <c r="D55" s="811"/>
      <c r="E55" s="3079"/>
      <c r="F55" s="3080"/>
      <c r="G55" s="3080"/>
      <c r="H55" s="3081"/>
      <c r="I55" s="3082"/>
      <c r="J55" s="3082"/>
      <c r="N55" s="301"/>
      <c r="O55" s="301"/>
      <c r="P55" s="301"/>
      <c r="Q55" s="144"/>
      <c r="S55" s="3097"/>
      <c r="T55" s="3098"/>
      <c r="Y55" s="2475"/>
      <c r="Z55" s="1618">
        <v>55</v>
      </c>
      <c r="AZ55" s="1588"/>
    </row>
    <row r="56" spans="1:52" s="223" customFormat="1" ht="15" customHeight="1">
      <c r="A56" s="144"/>
      <c r="B56" s="807" t="s">
        <v>1728</v>
      </c>
      <c r="C56" s="144"/>
      <c r="D56" s="811"/>
      <c r="E56" s="3079"/>
      <c r="F56" s="3080"/>
      <c r="G56" s="3080"/>
      <c r="H56" s="3081"/>
      <c r="I56" s="3082"/>
      <c r="J56" s="3082"/>
      <c r="M56" s="301"/>
      <c r="N56" s="301"/>
      <c r="O56" s="301"/>
      <c r="P56" s="301"/>
      <c r="Q56" s="144"/>
      <c r="S56" s="3097"/>
      <c r="T56" s="3098"/>
      <c r="Y56" s="2475"/>
      <c r="Z56" s="1618">
        <v>56</v>
      </c>
      <c r="AZ56" s="1588" t="s">
        <v>4259</v>
      </c>
    </row>
    <row r="57" spans="1:52" s="223" customFormat="1" ht="15" customHeight="1">
      <c r="A57" s="144"/>
      <c r="B57" s="807" t="s">
        <v>689</v>
      </c>
      <c r="C57" s="3101" t="s">
        <v>5184</v>
      </c>
      <c r="D57" s="3101"/>
      <c r="E57" s="3079" t="s">
        <v>5178</v>
      </c>
      <c r="F57" s="3080"/>
      <c r="G57" s="3080"/>
      <c r="H57" s="3081"/>
      <c r="I57" s="3082">
        <v>21248</v>
      </c>
      <c r="J57" s="3082"/>
      <c r="M57" s="301"/>
      <c r="N57" s="301"/>
      <c r="O57" s="301"/>
      <c r="P57" s="301"/>
      <c r="Q57" s="144"/>
      <c r="S57" s="3097"/>
      <c r="T57" s="3098"/>
      <c r="Y57" s="2475" t="s">
        <v>4259</v>
      </c>
      <c r="Z57" s="1618">
        <v>57</v>
      </c>
      <c r="AZ57" s="1588" t="s">
        <v>4260</v>
      </c>
    </row>
    <row r="58" spans="1:52" s="223" customFormat="1" ht="15" customHeight="1">
      <c r="A58" s="144"/>
      <c r="B58" s="807" t="s">
        <v>689</v>
      </c>
      <c r="C58" s="3102"/>
      <c r="D58" s="3102"/>
      <c r="E58" s="3079"/>
      <c r="F58" s="3080"/>
      <c r="G58" s="3080"/>
      <c r="H58" s="3081"/>
      <c r="I58" s="3082"/>
      <c r="J58" s="3082"/>
      <c r="K58" s="144"/>
      <c r="L58" s="248"/>
      <c r="M58" s="301"/>
      <c r="N58" s="301"/>
      <c r="O58" s="301"/>
      <c r="P58" s="301"/>
      <c r="Q58" s="144"/>
      <c r="S58" s="3097"/>
      <c r="T58" s="3098"/>
      <c r="Y58" s="2475" t="s">
        <v>4260</v>
      </c>
      <c r="Z58" s="1618">
        <v>58</v>
      </c>
      <c r="AZ58" s="1588" t="s">
        <v>4261</v>
      </c>
    </row>
    <row r="59" spans="1:52" s="223" customFormat="1" ht="15" customHeight="1">
      <c r="A59" s="144"/>
      <c r="B59" s="812" t="s">
        <v>689</v>
      </c>
      <c r="C59" s="3086"/>
      <c r="D59" s="3086"/>
      <c r="E59" s="3087"/>
      <c r="F59" s="3088"/>
      <c r="G59" s="3088"/>
      <c r="H59" s="3089"/>
      <c r="I59" s="3090"/>
      <c r="J59" s="3090"/>
      <c r="K59" s="144"/>
      <c r="L59" s="248"/>
      <c r="M59" s="301"/>
      <c r="N59" s="301"/>
      <c r="O59" s="301"/>
      <c r="P59" s="301"/>
      <c r="Q59" s="144"/>
      <c r="S59" s="3097"/>
      <c r="T59" s="3098"/>
      <c r="Y59" s="2475" t="s">
        <v>4261</v>
      </c>
      <c r="Z59" s="1618">
        <v>59</v>
      </c>
      <c r="AZ59" s="1588"/>
    </row>
    <row r="60" spans="1:52" s="223" customFormat="1" ht="14.25" customHeight="1">
      <c r="A60" s="144"/>
      <c r="B60" s="246" t="s">
        <v>2043</v>
      </c>
      <c r="C60" s="144"/>
      <c r="D60" s="144"/>
      <c r="E60" s="144"/>
      <c r="F60" s="144"/>
      <c r="G60" s="144"/>
      <c r="I60" s="3091">
        <f>SUM(I40:J45)+SUM(I49:J59)</f>
        <v>22079947</v>
      </c>
      <c r="J60" s="3092"/>
      <c r="K60" s="144"/>
      <c r="L60" s="248"/>
      <c r="M60" s="301"/>
      <c r="N60" s="301"/>
      <c r="O60" s="301"/>
      <c r="P60" s="301"/>
      <c r="Q60" s="144"/>
      <c r="S60" s="3097"/>
      <c r="T60" s="3098"/>
      <c r="Y60" s="2475"/>
      <c r="Z60" s="1618">
        <v>60</v>
      </c>
      <c r="AZ60" s="1588"/>
    </row>
    <row r="61" spans="1:52" s="223" customFormat="1" ht="14.25" customHeight="1" thickBot="1">
      <c r="A61" s="144"/>
      <c r="B61" s="246" t="s">
        <v>2044</v>
      </c>
      <c r="C61" s="144"/>
      <c r="D61" s="144"/>
      <c r="E61" s="144"/>
      <c r="F61" s="144"/>
      <c r="G61" s="144"/>
      <c r="I61" s="3093">
        <f>'Part III-A-Uses of Funds'!$G$146</f>
        <v>22079947</v>
      </c>
      <c r="J61" s="3094"/>
      <c r="K61" s="144"/>
      <c r="L61" s="248"/>
      <c r="M61" s="301"/>
      <c r="N61" s="301"/>
      <c r="O61" s="301"/>
      <c r="P61" s="301"/>
      <c r="Q61" s="144"/>
      <c r="S61" s="3097"/>
      <c r="T61" s="3098"/>
      <c r="Y61" s="2475"/>
      <c r="Z61" s="1618">
        <v>61</v>
      </c>
      <c r="AZ61" s="1588"/>
    </row>
    <row r="62" spans="1:52" s="223" customFormat="1" ht="14.25" customHeight="1" thickBot="1">
      <c r="A62" s="144"/>
      <c r="B62" s="246" t="s">
        <v>1426</v>
      </c>
      <c r="C62" s="144"/>
      <c r="D62" s="144"/>
      <c r="E62" s="144"/>
      <c r="F62" s="144"/>
      <c r="G62" s="144"/>
      <c r="I62" s="3095">
        <f>I60-I61</f>
        <v>0</v>
      </c>
      <c r="J62" s="3096"/>
      <c r="K62" s="144"/>
      <c r="L62" s="248"/>
      <c r="M62" s="301"/>
      <c r="N62" s="301"/>
      <c r="O62" s="301"/>
      <c r="P62" s="301"/>
      <c r="Q62" s="144"/>
      <c r="S62" s="3099"/>
      <c r="T62" s="3100"/>
      <c r="Y62" s="2475"/>
      <c r="Z62" s="1618">
        <v>62</v>
      </c>
      <c r="AZ62" s="1588"/>
    </row>
    <row r="63" spans="1:52" s="223" customFormat="1" ht="13.35" customHeight="1">
      <c r="A63" s="144" t="s">
        <v>3819</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3" t="s">
        <v>5186</v>
      </c>
      <c r="B66" s="3083"/>
      <c r="C66" s="3083"/>
      <c r="D66" s="3083"/>
      <c r="E66" s="3083"/>
      <c r="F66" s="3083"/>
      <c r="G66" s="3083"/>
      <c r="H66" s="3083"/>
      <c r="I66" s="3083"/>
      <c r="J66" s="3083"/>
      <c r="K66" s="3083"/>
      <c r="L66" s="3083"/>
      <c r="M66" s="3084"/>
      <c r="N66" s="3084"/>
      <c r="O66" s="3084"/>
      <c r="P66" s="3084"/>
      <c r="Q66" s="3084"/>
      <c r="S66" s="3085" t="s">
        <v>2445</v>
      </c>
      <c r="T66" s="308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4TlOQHvSTvqeKf825mbRHouipjXpEfabKO84i5wWJmhXdYS5EtjKLGgI+D0LSQIAMtPpRweMiTuqdHnpPcrDCw==" saltValue="Xo3pn4V5+Y2+C55433lHL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21" t="e">
        <f>CONCATENATE("PART III B: USD 538 LOAN","  -  ",#REF!," ",#REF!,", ",#REF!,", ",#REF!," County")</f>
        <v>#REF!</v>
      </c>
      <c r="B1" s="3222"/>
      <c r="C1" s="3222"/>
      <c r="D1" s="3222"/>
      <c r="E1" s="3222"/>
      <c r="F1" s="3223"/>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14" t="s">
        <v>210</v>
      </c>
      <c r="B3" s="3214"/>
      <c r="C3" s="3214"/>
      <c r="D3" s="3214"/>
      <c r="E3" s="3214"/>
      <c r="F3" s="3214"/>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5" t="s">
        <v>122</v>
      </c>
      <c r="B14" s="3215"/>
      <c r="C14" s="3215"/>
      <c r="D14" s="3215"/>
      <c r="E14" s="3215"/>
      <c r="F14" s="3215"/>
      <c r="G14" s="162"/>
      <c r="H14" s="162"/>
    </row>
    <row r="15" spans="1:17" ht="5.65" customHeight="1">
      <c r="A15" s="10"/>
      <c r="E15" s="169"/>
      <c r="F15" s="162"/>
      <c r="G15" s="162"/>
      <c r="H15" s="162"/>
    </row>
    <row r="16" spans="1:17" ht="13.35" customHeight="1">
      <c r="A16" s="170" t="s">
        <v>2278</v>
      </c>
      <c r="B16" s="171" t="s">
        <v>2275</v>
      </c>
      <c r="C16" s="171" t="s">
        <v>2276</v>
      </c>
      <c r="D16" s="3224" t="s">
        <v>2077</v>
      </c>
      <c r="E16" s="3224"/>
      <c r="F16" s="162"/>
      <c r="G16" s="162"/>
      <c r="H16" s="162"/>
    </row>
    <row r="17" spans="1:8" ht="12.6" customHeight="1">
      <c r="A17" s="60">
        <v>1</v>
      </c>
      <c r="B17" s="155">
        <f>IF(A17&gt;$C$9,0,SUM(C64:C75)*($C$6/$C$7))</f>
        <v>0</v>
      </c>
      <c r="C17" s="158">
        <f>IF(A17&gt;C9,0,(E63+K63)*$C$8)</f>
        <v>0</v>
      </c>
      <c r="D17" s="3219">
        <f t="shared" ref="D17:D56" si="0">IF(A17&gt;$C$9,0,$C$11+C17)</f>
        <v>0</v>
      </c>
      <c r="E17" s="3219"/>
      <c r="F17" s="162"/>
      <c r="G17" s="162"/>
      <c r="H17" s="162"/>
    </row>
    <row r="18" spans="1:8" ht="12.6" customHeight="1">
      <c r="A18" s="60">
        <v>2</v>
      </c>
      <c r="B18" s="155">
        <f>IF(A18&gt;C9,0,SUM(C76:C87)*($C$6/$C$7))</f>
        <v>0</v>
      </c>
      <c r="C18" s="158">
        <f>IF(A18&gt;C9,0,(E75+K75)*$C$8)</f>
        <v>0</v>
      </c>
      <c r="D18" s="3217">
        <f t="shared" si="0"/>
        <v>0</v>
      </c>
      <c r="E18" s="3217"/>
      <c r="F18" s="162"/>
      <c r="G18" s="162"/>
      <c r="H18" s="162"/>
    </row>
    <row r="19" spans="1:8" ht="12.6" customHeight="1">
      <c r="A19" s="60">
        <v>3</v>
      </c>
      <c r="B19" s="155">
        <f>IF(A19&gt;C9,0,SUM(C88:C99)*($C$6/$C$7))</f>
        <v>0</v>
      </c>
      <c r="C19" s="158">
        <f>IF(A19&gt;C9,0,(E87+K87)*$C$8)</f>
        <v>0</v>
      </c>
      <c r="D19" s="3217">
        <f t="shared" si="0"/>
        <v>0</v>
      </c>
      <c r="E19" s="3217"/>
      <c r="F19" s="162"/>
      <c r="G19" s="162"/>
      <c r="H19" s="162"/>
    </row>
    <row r="20" spans="1:8" ht="12.6" customHeight="1">
      <c r="A20" s="60">
        <v>4</v>
      </c>
      <c r="B20" s="155">
        <f>IF(A20&gt;C9,0,SUM(C100:C111)*($C$6/$C$7))</f>
        <v>0</v>
      </c>
      <c r="C20" s="158">
        <f>IF(A20&gt;C9,0,(E99+K99)*$C$8)</f>
        <v>0</v>
      </c>
      <c r="D20" s="3217">
        <f t="shared" si="0"/>
        <v>0</v>
      </c>
      <c r="E20" s="3217"/>
      <c r="F20" s="162"/>
      <c r="G20" s="162"/>
      <c r="H20" s="162"/>
    </row>
    <row r="21" spans="1:8" ht="12.6" customHeight="1">
      <c r="A21" s="60">
        <v>5</v>
      </c>
      <c r="B21" s="155">
        <f>IF(A21&gt;C9,0,SUM(C112:C123)*($C$6/$C$7))</f>
        <v>0</v>
      </c>
      <c r="C21" s="158">
        <f>IF(A21&gt;C9,0,(E111+K111)*$C$8)</f>
        <v>0</v>
      </c>
      <c r="D21" s="3218">
        <f t="shared" si="0"/>
        <v>0</v>
      </c>
      <c r="E21" s="3218"/>
      <c r="F21" s="162"/>
      <c r="G21" s="162"/>
      <c r="H21" s="162"/>
    </row>
    <row r="22" spans="1:8" ht="12.6" customHeight="1">
      <c r="A22" s="156">
        <v>6</v>
      </c>
      <c r="B22" s="157">
        <f>IF(A22&gt;C9,0,SUM(C124:C135)*($C$6/$C$7))</f>
        <v>0</v>
      </c>
      <c r="C22" s="173">
        <f>IF(A22&gt;C9,0,(E123+K123)*$C$8)</f>
        <v>0</v>
      </c>
      <c r="D22" s="3217">
        <f t="shared" si="0"/>
        <v>0</v>
      </c>
      <c r="E22" s="3217"/>
      <c r="F22" s="162"/>
      <c r="G22" s="162"/>
      <c r="H22" s="162"/>
    </row>
    <row r="23" spans="1:8" ht="12.6" customHeight="1">
      <c r="A23" s="60">
        <v>7</v>
      </c>
      <c r="B23" s="155">
        <f>IF(A23&gt;C9,0,SUM(C136:C147)*($C$6/$C$7))</f>
        <v>0</v>
      </c>
      <c r="C23" s="158">
        <f>IF(A23&gt;C9,0,(E135+K135)*$C$8)</f>
        <v>0</v>
      </c>
      <c r="D23" s="3217">
        <f t="shared" si="0"/>
        <v>0</v>
      </c>
      <c r="E23" s="3217"/>
      <c r="F23" s="162"/>
      <c r="G23" s="162"/>
      <c r="H23" s="162"/>
    </row>
    <row r="24" spans="1:8" ht="12.6" customHeight="1">
      <c r="A24" s="60">
        <v>8</v>
      </c>
      <c r="B24" s="155">
        <f>IF(A24&gt;C9,0,SUM(C148:C159)*($C$6/$C$7))</f>
        <v>0</v>
      </c>
      <c r="C24" s="158">
        <f>IF(A24&gt;C9,0,(E147+K147)*$C$8)</f>
        <v>0</v>
      </c>
      <c r="D24" s="3217">
        <f t="shared" si="0"/>
        <v>0</v>
      </c>
      <c r="E24" s="3217"/>
      <c r="F24" s="162"/>
      <c r="G24" s="162"/>
      <c r="H24" s="162"/>
    </row>
    <row r="25" spans="1:8" ht="12.6" customHeight="1">
      <c r="A25" s="60">
        <v>9</v>
      </c>
      <c r="B25" s="155">
        <f>IF(A25&gt;C9,0,SUM(C160:C171)*($C$6/$C$7))</f>
        <v>0</v>
      </c>
      <c r="C25" s="158">
        <f>IF(A25&gt;C9,0,(E159+K159)*$C$8)</f>
        <v>0</v>
      </c>
      <c r="D25" s="3217">
        <f t="shared" si="0"/>
        <v>0</v>
      </c>
      <c r="E25" s="3217"/>
      <c r="F25" s="162"/>
      <c r="G25" s="162"/>
      <c r="H25" s="162"/>
    </row>
    <row r="26" spans="1:8" ht="12.6" customHeight="1">
      <c r="A26" s="159">
        <v>10</v>
      </c>
      <c r="B26" s="160">
        <f>IF(A26&gt;C9,0,SUM(C172:C183)*($C$6/$C$7))</f>
        <v>0</v>
      </c>
      <c r="C26" s="172">
        <f>IF(A26&gt;C9,0,(E171+K171)*$C$8)</f>
        <v>0</v>
      </c>
      <c r="D26" s="3218">
        <f t="shared" si="0"/>
        <v>0</v>
      </c>
      <c r="E26" s="3218"/>
      <c r="F26" s="162"/>
      <c r="G26" s="162"/>
      <c r="H26" s="162"/>
    </row>
    <row r="27" spans="1:8" ht="12.6" customHeight="1">
      <c r="A27" s="60">
        <v>11</v>
      </c>
      <c r="B27" s="155">
        <f>IF(A27&gt;C9,0,SUM(C184:C195)*($C$6/$C$7))</f>
        <v>0</v>
      </c>
      <c r="C27" s="158">
        <f>IF(A27&gt;C9,0,(E183+K183)*$C$8)</f>
        <v>0</v>
      </c>
      <c r="D27" s="3217">
        <f t="shared" si="0"/>
        <v>0</v>
      </c>
      <c r="E27" s="3217"/>
      <c r="F27" s="162"/>
      <c r="G27" s="162"/>
      <c r="H27" s="162"/>
    </row>
    <row r="28" spans="1:8" ht="12.6" customHeight="1">
      <c r="A28" s="60">
        <v>12</v>
      </c>
      <c r="B28" s="155">
        <f>IF(A28&gt;C9,0,SUM(C196:C207)*($C$6/$C$7))</f>
        <v>0</v>
      </c>
      <c r="C28" s="158">
        <f>IF(A28&gt;C9,0,(E195+K195)*$C$8)</f>
        <v>0</v>
      </c>
      <c r="D28" s="3217">
        <f t="shared" si="0"/>
        <v>0</v>
      </c>
      <c r="E28" s="3217"/>
      <c r="F28" s="162"/>
      <c r="G28" s="162"/>
      <c r="H28" s="162"/>
    </row>
    <row r="29" spans="1:8" ht="12.6" customHeight="1">
      <c r="A29" s="60">
        <v>13</v>
      </c>
      <c r="B29" s="155">
        <f>IF(A29&gt;C9,0,SUM(C208:C219)*($C$6/$C$7))</f>
        <v>0</v>
      </c>
      <c r="C29" s="158">
        <f>IF(A29&gt;C9,0,(E207+K207)*$C$8)</f>
        <v>0</v>
      </c>
      <c r="D29" s="3217">
        <f t="shared" si="0"/>
        <v>0</v>
      </c>
      <c r="E29" s="3217"/>
      <c r="F29" s="162"/>
      <c r="G29" s="162"/>
      <c r="H29" s="162"/>
    </row>
    <row r="30" spans="1:8" ht="12.6" customHeight="1">
      <c r="A30" s="60">
        <v>14</v>
      </c>
      <c r="B30" s="155">
        <f>IF(A30&gt;C9,0,SUM(C220:C231)*($C$6/$C$7))</f>
        <v>0</v>
      </c>
      <c r="C30" s="158">
        <f>IF(A30&gt;C9,0,(E219+K219)*$C$8)</f>
        <v>0</v>
      </c>
      <c r="D30" s="3217">
        <f t="shared" si="0"/>
        <v>0</v>
      </c>
      <c r="E30" s="3217"/>
      <c r="F30" s="162"/>
      <c r="G30" s="162"/>
      <c r="H30" s="162"/>
    </row>
    <row r="31" spans="1:8" ht="12.6" customHeight="1">
      <c r="A31" s="60">
        <v>15</v>
      </c>
      <c r="B31" s="155">
        <f>IF(A31&gt;C9,0,SUM(C232:C243)*($C$6/$C$7))</f>
        <v>0</v>
      </c>
      <c r="C31" s="158">
        <f>IF(A31&gt;C9,0,(E231+K231)*$C$8)</f>
        <v>0</v>
      </c>
      <c r="D31" s="3218">
        <f t="shared" si="0"/>
        <v>0</v>
      </c>
      <c r="E31" s="3218"/>
      <c r="F31" s="162"/>
      <c r="G31" s="162"/>
      <c r="H31" s="162"/>
    </row>
    <row r="32" spans="1:8" ht="12.6" customHeight="1">
      <c r="A32" s="156">
        <v>16</v>
      </c>
      <c r="B32" s="157">
        <f>IF(A32&gt;C9,0,SUM(C244:C255)*($C$6/$C$7))</f>
        <v>0</v>
      </c>
      <c r="C32" s="173">
        <f>IF(A32&gt;C9,0,(E243+K243)*$C$8)</f>
        <v>0</v>
      </c>
      <c r="D32" s="3217">
        <f t="shared" si="0"/>
        <v>0</v>
      </c>
      <c r="E32" s="3217"/>
      <c r="F32" s="162"/>
      <c r="G32" s="162"/>
      <c r="H32" s="162"/>
    </row>
    <row r="33" spans="1:8" ht="12.6" customHeight="1">
      <c r="A33" s="60">
        <v>17</v>
      </c>
      <c r="B33" s="155">
        <f>IF(A33&gt;C9,0,SUM(C256:C267)*($C$6/$C$7))</f>
        <v>0</v>
      </c>
      <c r="C33" s="158">
        <f>IF(A33&gt;C9,0,(E255+K255)*$C$8)</f>
        <v>0</v>
      </c>
      <c r="D33" s="3217">
        <f t="shared" si="0"/>
        <v>0</v>
      </c>
      <c r="E33" s="3217"/>
      <c r="F33" s="162"/>
      <c r="G33" s="162"/>
      <c r="H33" s="162"/>
    </row>
    <row r="34" spans="1:8" ht="12.6" customHeight="1">
      <c r="A34" s="60">
        <v>18</v>
      </c>
      <c r="B34" s="155">
        <f>IF(A34&gt;C9,0,SUM(C268:C279)*($C$6/$C$7))</f>
        <v>0</v>
      </c>
      <c r="C34" s="158">
        <f>IF(A34&gt;C9,0,(E267+K267)*$C$8)</f>
        <v>0</v>
      </c>
      <c r="D34" s="3217">
        <f t="shared" si="0"/>
        <v>0</v>
      </c>
      <c r="E34" s="3217"/>
      <c r="F34" s="162"/>
      <c r="G34" s="162"/>
      <c r="H34" s="162"/>
    </row>
    <row r="35" spans="1:8" ht="12.6" customHeight="1">
      <c r="A35" s="60">
        <v>19</v>
      </c>
      <c r="B35" s="155">
        <f>IF(A35&gt;C9,0,SUM(C280:C291)*($C$6/$C$7))</f>
        <v>0</v>
      </c>
      <c r="C35" s="158">
        <f>IF(A35&gt;C9,0,(E279+K279)*$C$8)</f>
        <v>0</v>
      </c>
      <c r="D35" s="3217">
        <f t="shared" si="0"/>
        <v>0</v>
      </c>
      <c r="E35" s="3217"/>
      <c r="F35" s="162"/>
      <c r="G35" s="162"/>
      <c r="H35" s="162"/>
    </row>
    <row r="36" spans="1:8" ht="12.6" customHeight="1">
      <c r="A36" s="159">
        <v>20</v>
      </c>
      <c r="B36" s="160">
        <f>IF(A36&gt;C9,0,SUM(C292:C303)*($C$6/$C$7))</f>
        <v>0</v>
      </c>
      <c r="C36" s="172">
        <f>IF(A36&gt;C9,0,(E291+K291)*$C$8)</f>
        <v>0</v>
      </c>
      <c r="D36" s="3218">
        <f t="shared" si="0"/>
        <v>0</v>
      </c>
      <c r="E36" s="3218"/>
      <c r="F36" s="162"/>
      <c r="G36" s="162"/>
      <c r="H36" s="162"/>
    </row>
    <row r="37" spans="1:8" ht="12.6" customHeight="1">
      <c r="A37" s="60">
        <v>21</v>
      </c>
      <c r="B37" s="157">
        <f>IF(A37&gt;C9,0,SUM(C293:C304)*($C$6/$C$7))</f>
        <v>0</v>
      </c>
      <c r="C37" s="173">
        <f>IF(A37&gt;C9,0,(E303+K303)*$C$8)</f>
        <v>0</v>
      </c>
      <c r="D37" s="3220">
        <f t="shared" si="0"/>
        <v>0</v>
      </c>
      <c r="E37" s="3220"/>
      <c r="F37" s="162"/>
      <c r="G37" s="162"/>
      <c r="H37" s="162"/>
    </row>
    <row r="38" spans="1:8" ht="12.6" customHeight="1">
      <c r="A38" s="60">
        <v>22</v>
      </c>
      <c r="B38" s="155">
        <f>IF(A38&gt;C9,0,SUM(C294:C305)*($C$6/$C$7))</f>
        <v>0</v>
      </c>
      <c r="C38" s="158">
        <f>IF(A38&gt;C9,0,(E315+K315)*$C$8)</f>
        <v>0</v>
      </c>
      <c r="D38" s="3217">
        <f t="shared" si="0"/>
        <v>0</v>
      </c>
      <c r="E38" s="3217"/>
      <c r="F38" s="162"/>
      <c r="G38" s="162"/>
      <c r="H38" s="162"/>
    </row>
    <row r="39" spans="1:8" ht="12.6" customHeight="1">
      <c r="A39" s="60">
        <v>23</v>
      </c>
      <c r="B39" s="155">
        <f>IF(A39&gt;C9,0,SUM(C295:C306)*($C$6/$C$7))</f>
        <v>0</v>
      </c>
      <c r="C39" s="158">
        <f>IF(A39&gt;C9,0,(E327+K327)*$C$8)</f>
        <v>0</v>
      </c>
      <c r="D39" s="3217">
        <f t="shared" si="0"/>
        <v>0</v>
      </c>
      <c r="E39" s="3217"/>
      <c r="F39" s="162"/>
      <c r="G39" s="162"/>
      <c r="H39" s="162"/>
    </row>
    <row r="40" spans="1:8" ht="12.6" customHeight="1">
      <c r="A40" s="60">
        <v>24</v>
      </c>
      <c r="B40" s="155">
        <f>IF(A40&gt;C9,0,SUM(C296:C307)*($C$6/$C$7))</f>
        <v>0</v>
      </c>
      <c r="C40" s="158">
        <f>IF(A40&gt;C9,0,(E339+K339)*$C$8)</f>
        <v>0</v>
      </c>
      <c r="D40" s="3217">
        <f t="shared" si="0"/>
        <v>0</v>
      </c>
      <c r="E40" s="3217"/>
      <c r="F40" s="162"/>
      <c r="G40" s="162"/>
      <c r="H40" s="162"/>
    </row>
    <row r="41" spans="1:8" ht="12.6" customHeight="1">
      <c r="A41" s="60">
        <v>25</v>
      </c>
      <c r="B41" s="160">
        <f>IF(A41&gt;C9,0,SUM(C297:C308)*($C$6/$C$7))</f>
        <v>0</v>
      </c>
      <c r="C41" s="172">
        <f>IF(A41&gt;C9,0,(E351+K351)*$C$8)</f>
        <v>0</v>
      </c>
      <c r="D41" s="3218">
        <f t="shared" si="0"/>
        <v>0</v>
      </c>
      <c r="E41" s="3218"/>
      <c r="F41" s="162"/>
      <c r="G41" s="162"/>
      <c r="H41" s="162"/>
    </row>
    <row r="42" spans="1:8" ht="12.6" customHeight="1">
      <c r="A42" s="156">
        <v>26</v>
      </c>
      <c r="B42" s="157">
        <f>IF(A42&gt;C9,0,SUM(C298:C309)*($C$6/$C$7))</f>
        <v>0</v>
      </c>
      <c r="C42" s="173">
        <f>IF(A42&gt;C9,0,(E363+K363)*$C$8)</f>
        <v>0</v>
      </c>
      <c r="D42" s="3220">
        <f t="shared" si="0"/>
        <v>0</v>
      </c>
      <c r="E42" s="3220"/>
      <c r="F42" s="162"/>
      <c r="G42" s="162"/>
      <c r="H42" s="162"/>
    </row>
    <row r="43" spans="1:8" ht="12.6" customHeight="1">
      <c r="A43" s="60">
        <v>27</v>
      </c>
      <c r="B43" s="155">
        <f>IF(A43&gt;C9,0,SUM(C299:C310)*($C$6/$C$7))</f>
        <v>0</v>
      </c>
      <c r="C43" s="158">
        <f>IF(A43&gt;C9,0,(E375+K375)*$C$8)</f>
        <v>0</v>
      </c>
      <c r="D43" s="3217">
        <f t="shared" si="0"/>
        <v>0</v>
      </c>
      <c r="E43" s="3217"/>
      <c r="F43" s="162"/>
      <c r="G43" s="162"/>
      <c r="H43" s="162"/>
    </row>
    <row r="44" spans="1:8" ht="12.6" customHeight="1">
      <c r="A44" s="60">
        <v>28</v>
      </c>
      <c r="B44" s="155">
        <f>IF(A44&gt;C9,0,SUM(C300:C311)*($C$6/$C$7))</f>
        <v>0</v>
      </c>
      <c r="C44" s="158">
        <f>IF(A44&gt;C9,0,(E387+K387)*$C$8)</f>
        <v>0</v>
      </c>
      <c r="D44" s="3217">
        <f t="shared" si="0"/>
        <v>0</v>
      </c>
      <c r="E44" s="3217"/>
      <c r="F44" s="162"/>
      <c r="G44" s="162"/>
      <c r="H44" s="162"/>
    </row>
    <row r="45" spans="1:8" ht="12.6" customHeight="1">
      <c r="A45" s="60">
        <v>29</v>
      </c>
      <c r="B45" s="155">
        <f>IF(A45&gt;C9,0,SUM(C301:C312)*($C$6/$C$7))</f>
        <v>0</v>
      </c>
      <c r="C45" s="158">
        <f>IF(A45&gt;C9,0,(E411+K411)*$C$8)</f>
        <v>0</v>
      </c>
      <c r="D45" s="3217">
        <f t="shared" si="0"/>
        <v>0</v>
      </c>
      <c r="E45" s="3217"/>
      <c r="F45" s="162"/>
      <c r="G45" s="162"/>
      <c r="H45" s="162"/>
    </row>
    <row r="46" spans="1:8" ht="12.6" customHeight="1">
      <c r="A46" s="159">
        <v>30</v>
      </c>
      <c r="B46" s="160">
        <f>IF(A46&gt;C9,0,SUM(C302:C313)*($C$6/$C$7))</f>
        <v>0</v>
      </c>
      <c r="C46" s="172">
        <f>IF(A46&gt;C9,0,(E423+K423)*$C$8)</f>
        <v>0</v>
      </c>
      <c r="D46" s="3218">
        <f t="shared" si="0"/>
        <v>0</v>
      </c>
      <c r="E46" s="3218"/>
      <c r="F46" s="162"/>
      <c r="G46" s="162"/>
      <c r="H46" s="162"/>
    </row>
    <row r="47" spans="1:8" ht="12.6" customHeight="1">
      <c r="A47" s="156">
        <v>31</v>
      </c>
      <c r="B47" s="157">
        <f>IF(A47&gt;C9,0,SUM(C303:C314)*($C$6/$C$7))</f>
        <v>0</v>
      </c>
      <c r="C47" s="173">
        <f>IF(A47&gt;C9,0,(E435+K435)*$C$8)</f>
        <v>0</v>
      </c>
      <c r="D47" s="3220">
        <f t="shared" si="0"/>
        <v>0</v>
      </c>
      <c r="E47" s="3220"/>
      <c r="F47" s="162"/>
      <c r="G47" s="162"/>
      <c r="H47" s="162"/>
    </row>
    <row r="48" spans="1:8" ht="12.6" customHeight="1">
      <c r="A48" s="60">
        <v>32</v>
      </c>
      <c r="B48" s="155">
        <f>IF(A48&gt;C9,0,SUM(C304:C315)*($C$6/$C$7))</f>
        <v>0</v>
      </c>
      <c r="C48" s="158">
        <f>IF(A48&gt;C9,0,(E447+K447)*$C$8)</f>
        <v>0</v>
      </c>
      <c r="D48" s="3217">
        <f t="shared" si="0"/>
        <v>0</v>
      </c>
      <c r="E48" s="3217"/>
      <c r="F48" s="162"/>
      <c r="G48" s="162"/>
      <c r="H48" s="162"/>
    </row>
    <row r="49" spans="1:12" ht="12.6" customHeight="1">
      <c r="A49" s="60">
        <v>33</v>
      </c>
      <c r="B49" s="155">
        <f>IF(A49&gt;C9,0,SUM(C305:C316)*($C$6/$C$7))</f>
        <v>0</v>
      </c>
      <c r="C49" s="158">
        <f>IF(A49&gt;C9,0,(E459+K459)*$C$8)</f>
        <v>0</v>
      </c>
      <c r="D49" s="3217">
        <f t="shared" si="0"/>
        <v>0</v>
      </c>
      <c r="E49" s="3217"/>
      <c r="F49" s="162"/>
      <c r="G49" s="162"/>
      <c r="H49" s="162"/>
    </row>
    <row r="50" spans="1:12" ht="12.6" customHeight="1">
      <c r="A50" s="60">
        <v>34</v>
      </c>
      <c r="B50" s="155">
        <f>IF(A50&gt;C9,0,SUM(C306:C317)*($C$6/$C$7))</f>
        <v>0</v>
      </c>
      <c r="C50" s="158">
        <f>IF(A50&gt;C9,0,(E471+K471)*$C$8)</f>
        <v>0</v>
      </c>
      <c r="D50" s="3217">
        <f t="shared" si="0"/>
        <v>0</v>
      </c>
      <c r="E50" s="3217"/>
      <c r="F50" s="162"/>
      <c r="G50" s="162"/>
      <c r="H50" s="162"/>
    </row>
    <row r="51" spans="1:12" ht="12.6" customHeight="1">
      <c r="A51" s="159">
        <v>35</v>
      </c>
      <c r="B51" s="160">
        <f>IF(A51&gt;C9,0,SUM(C307:C318)*($C$6/$C$7))</f>
        <v>0</v>
      </c>
      <c r="C51" s="172">
        <f>IF(A51&gt;C9,0,(E483+K483)*$C$8)</f>
        <v>0</v>
      </c>
      <c r="D51" s="3218">
        <f t="shared" si="0"/>
        <v>0</v>
      </c>
      <c r="E51" s="3218"/>
      <c r="F51" s="162"/>
      <c r="G51" s="162"/>
      <c r="H51" s="162"/>
    </row>
    <row r="52" spans="1:12" ht="12.6" customHeight="1">
      <c r="A52" s="156">
        <v>36</v>
      </c>
      <c r="B52" s="157">
        <f>IF(A52&gt;C9,0,SUM(C308:C319)*($C$6/$C$7))</f>
        <v>0</v>
      </c>
      <c r="C52" s="173">
        <f>IF(A52&gt;C9,0,(E495+K495)*$C$8)</f>
        <v>0</v>
      </c>
      <c r="D52" s="3220">
        <f t="shared" si="0"/>
        <v>0</v>
      </c>
      <c r="E52" s="3220"/>
      <c r="F52" s="162"/>
      <c r="G52" s="162"/>
      <c r="H52" s="162"/>
    </row>
    <row r="53" spans="1:12" ht="12.6" customHeight="1">
      <c r="A53" s="60">
        <v>37</v>
      </c>
      <c r="B53" s="155">
        <f>IF(A53&gt;C9,0,SUM(C309:C320)*($C$6/$C$7))</f>
        <v>0</v>
      </c>
      <c r="C53" s="158">
        <f>IF(A53&gt;C9,0,(E507+K507)*$C$8)</f>
        <v>0</v>
      </c>
      <c r="D53" s="3217">
        <f t="shared" si="0"/>
        <v>0</v>
      </c>
      <c r="E53" s="3217"/>
      <c r="F53" s="162"/>
      <c r="G53" s="162"/>
      <c r="H53" s="162"/>
    </row>
    <row r="54" spans="1:12" ht="12.6" customHeight="1">
      <c r="A54" s="60">
        <v>38</v>
      </c>
      <c r="B54" s="155">
        <f>IF(A54&gt;C9,0,SUM(C310:C321)*($C$6/$C$7))</f>
        <v>0</v>
      </c>
      <c r="C54" s="158">
        <f>IF(A54&gt;C9,0,(E519+K519)*$C$8)</f>
        <v>0</v>
      </c>
      <c r="D54" s="3217">
        <f t="shared" si="0"/>
        <v>0</v>
      </c>
      <c r="E54" s="3217"/>
      <c r="F54" s="162"/>
      <c r="G54" s="162"/>
      <c r="H54" s="162"/>
    </row>
    <row r="55" spans="1:12" ht="12.6" customHeight="1">
      <c r="A55" s="60">
        <v>39</v>
      </c>
      <c r="B55" s="155">
        <f>IF(A55&gt;C9,0,SUM(C311:C322)*($C$6/$C$7))</f>
        <v>0</v>
      </c>
      <c r="C55" s="158">
        <f>IF(A55&gt;C9,0,(E531+K531)*$C$8)</f>
        <v>0</v>
      </c>
      <c r="D55" s="3217">
        <f t="shared" si="0"/>
        <v>0</v>
      </c>
      <c r="E55" s="3217"/>
      <c r="F55" s="162"/>
      <c r="G55" s="162"/>
      <c r="H55" s="162"/>
    </row>
    <row r="56" spans="1:12" ht="12.6" customHeight="1">
      <c r="A56" s="159">
        <v>40</v>
      </c>
      <c r="B56" s="160">
        <f>IF(A56&gt;C9,0,SUM(C312:C323)*($C$6/$C$7))</f>
        <v>0</v>
      </c>
      <c r="C56" s="172">
        <f>IF(A56&gt;C9,0,(E543+K543)*$C$8)</f>
        <v>0</v>
      </c>
      <c r="D56" s="3218">
        <f t="shared" si="0"/>
        <v>0</v>
      </c>
      <c r="E56" s="3218"/>
      <c r="F56" s="162"/>
      <c r="G56" s="162"/>
      <c r="H56" s="162"/>
    </row>
    <row r="57" spans="1:12" ht="3" customHeight="1">
      <c r="A57" s="162"/>
      <c r="B57" s="162"/>
      <c r="C57" s="162"/>
      <c r="D57" s="162"/>
      <c r="E57" s="162"/>
      <c r="F57" s="162"/>
      <c r="G57" s="162"/>
      <c r="H57" s="162"/>
    </row>
    <row r="58" spans="1:12" ht="13.35" customHeight="1">
      <c r="A58" s="3216" t="e">
        <f>CONCATENATE(#REF!," ",#REF!,", ",#REF!,", ",#REF!," County")</f>
        <v>#REF!</v>
      </c>
      <c r="B58" s="3216"/>
      <c r="C58" s="3216"/>
      <c r="D58" s="3216"/>
      <c r="E58" s="3216"/>
      <c r="F58" s="3216"/>
      <c r="G58" s="3216" t="e">
        <f>CONCATENATE(#REF!," ",#REF!,", ",#REF!,", ",#REF!," County")</f>
        <v>#REF!</v>
      </c>
      <c r="H58" s="3216"/>
      <c r="I58" s="3216"/>
      <c r="J58" s="3216"/>
      <c r="K58" s="3216"/>
      <c r="L58" s="3216"/>
    </row>
    <row r="59" spans="1:12" ht="15">
      <c r="A59" s="3214" t="s">
        <v>2269</v>
      </c>
      <c r="B59" s="3214"/>
      <c r="C59" s="3214"/>
      <c r="D59" s="3214"/>
      <c r="E59" s="3214"/>
      <c r="F59" s="3214"/>
      <c r="G59" s="3214" t="s">
        <v>2269</v>
      </c>
      <c r="H59" s="3214"/>
      <c r="I59" s="3214"/>
      <c r="J59" s="3214"/>
      <c r="K59" s="3214"/>
      <c r="L59" s="3214"/>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21" t="e">
        <f>CONCATENATE("PART III C  - HUD INSURED LOAN","  -  ",#REF!," ",#REF!,", ",#REF!,", ",#REF!," County")</f>
        <v>#REF!</v>
      </c>
      <c r="B1" s="3222"/>
      <c r="C1" s="3222"/>
      <c r="D1" s="3222"/>
      <c r="E1" s="3222"/>
      <c r="F1" s="3223"/>
      <c r="G1" s="139"/>
      <c r="H1" s="139"/>
      <c r="I1" s="139"/>
      <c r="J1" s="139"/>
      <c r="K1" s="139"/>
      <c r="L1" s="139"/>
      <c r="M1" s="139"/>
      <c r="N1" s="139"/>
      <c r="O1" s="139"/>
      <c r="P1" s="139"/>
      <c r="Q1" s="139"/>
    </row>
    <row r="2" spans="1:17">
      <c r="A2" s="10"/>
    </row>
    <row r="3" spans="1:17" ht="15.6" customHeight="1">
      <c r="A3" s="3214" t="s">
        <v>210</v>
      </c>
      <c r="B3" s="3214"/>
      <c r="C3" s="3214"/>
      <c r="D3" s="3214"/>
      <c r="E3" s="3214"/>
      <c r="F3" s="3214"/>
      <c r="G3" s="189"/>
      <c r="H3" s="189"/>
    </row>
    <row r="4" spans="1:17">
      <c r="A4" s="10"/>
    </row>
    <row r="5" spans="1:17" ht="13.35" customHeight="1">
      <c r="A5" t="s">
        <v>2078</v>
      </c>
      <c r="D5" s="183"/>
      <c r="E5" s="3225" t="s">
        <v>894</v>
      </c>
      <c r="F5" s="3226"/>
      <c r="G5" s="126"/>
    </row>
    <row r="6" spans="1:17">
      <c r="E6" s="3226"/>
      <c r="F6" s="3226"/>
      <c r="G6" s="126"/>
    </row>
    <row r="7" spans="1:17">
      <c r="A7" t="s">
        <v>2261</v>
      </c>
      <c r="C7" t="s">
        <v>2262</v>
      </c>
      <c r="D7" s="184"/>
      <c r="E7" s="3226"/>
      <c r="F7" s="3226"/>
      <c r="G7" s="126"/>
    </row>
    <row r="8" spans="1:17">
      <c r="C8" t="s">
        <v>2263</v>
      </c>
      <c r="D8" s="184"/>
      <c r="E8" s="3226"/>
      <c r="F8" s="3226"/>
      <c r="G8" s="126"/>
    </row>
    <row r="9" spans="1:17">
      <c r="C9" t="s">
        <v>2264</v>
      </c>
      <c r="D9" s="184"/>
      <c r="E9" s="3226"/>
      <c r="F9" s="3226"/>
      <c r="G9" s="126"/>
    </row>
    <row r="10" spans="1:17">
      <c r="C10" t="s">
        <v>2277</v>
      </c>
      <c r="D10" s="190">
        <f>D7+D8+D9</f>
        <v>0</v>
      </c>
      <c r="E10" s="3226"/>
      <c r="F10" s="3226"/>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5" t="s">
        <v>1594</v>
      </c>
      <c r="B24" s="3215"/>
      <c r="C24" s="3215"/>
      <c r="D24" s="3215"/>
      <c r="E24" s="3215"/>
      <c r="F24" s="3215"/>
      <c r="J24" s="192"/>
    </row>
    <row r="25" spans="1:10">
      <c r="C25" s="161"/>
      <c r="J25" s="192"/>
    </row>
    <row r="26" spans="1:10">
      <c r="A26" s="82"/>
      <c r="B26" s="60"/>
      <c r="C26" s="3227" t="s">
        <v>2077</v>
      </c>
      <c r="D26" s="188"/>
      <c r="E26" s="60"/>
      <c r="F26" s="3227" t="s">
        <v>2077</v>
      </c>
      <c r="J26" s="192"/>
    </row>
    <row r="27" spans="1:10">
      <c r="A27" s="193" t="s">
        <v>2278</v>
      </c>
      <c r="B27" s="24" t="s">
        <v>961</v>
      </c>
      <c r="C27" s="3228"/>
      <c r="D27" s="194" t="s">
        <v>2278</v>
      </c>
      <c r="E27" s="24" t="s">
        <v>961</v>
      </c>
      <c r="F27" s="322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6" t="e">
        <f>CONCATENATE(#REF!," ",#REF!,", ",#REF!,", ",#REF!," County")</f>
        <v>#REF!</v>
      </c>
      <c r="B50" s="3216"/>
      <c r="C50" s="3216"/>
      <c r="D50" s="3216"/>
      <c r="E50" s="3216"/>
      <c r="F50" s="3216"/>
      <c r="G50" s="41"/>
      <c r="H50" s="41"/>
    </row>
    <row r="51" spans="1:10" ht="15">
      <c r="A51" s="3214" t="s">
        <v>2269</v>
      </c>
      <c r="B51" s="3214"/>
      <c r="C51" s="3214"/>
      <c r="D51" s="3214"/>
      <c r="E51" s="3214"/>
      <c r="F51" s="3214"/>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zoomScale="70" zoomScaleNormal="70" workbookViewId="0">
      <selection activeCell="F131" sqref="F131"/>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4230</v>
      </c>
      <c r="J1" s="1651" t="s">
        <v>4231</v>
      </c>
      <c r="M1" s="1651" t="s">
        <v>4232</v>
      </c>
      <c r="N1" s="1651" t="s">
        <v>4233</v>
      </c>
      <c r="P1" s="1651" t="s">
        <v>4234</v>
      </c>
      <c r="Q1" s="1651" t="s">
        <v>4235</v>
      </c>
      <c r="S1" s="1651" t="s">
        <v>4236</v>
      </c>
      <c r="BA1" s="1618">
        <v>1</v>
      </c>
    </row>
    <row r="2" spans="1:53" s="144" customFormat="1" ht="13.5" customHeight="1">
      <c r="A2" s="3400" t="str">
        <f>CONCATENATE("PART THREE (A):  USES OF FUNDS","  -  ",'Part I-Project Identification'!$O$7," ",'Part I-Project Identification'!$F$26,", ",'Part I-Project Identification'!F27,", ",'Part I-Project Identification'!J27," County")</f>
        <v>PART THREE (A):  USES OF FUNDS  -  2024-0 Lewis Crossing, Atlanta, Fulton County</v>
      </c>
      <c r="B2" s="3401"/>
      <c r="C2" s="3401"/>
      <c r="D2" s="3401"/>
      <c r="E2" s="3401"/>
      <c r="F2" s="3401"/>
      <c r="G2" s="3401"/>
      <c r="H2" s="3401"/>
      <c r="I2" s="3401"/>
      <c r="J2" s="3401"/>
      <c r="K2" s="3401"/>
      <c r="L2" s="3401"/>
      <c r="M2" s="3401"/>
      <c r="N2" s="3401"/>
      <c r="O2" s="3401"/>
      <c r="P2" s="3401"/>
      <c r="Q2" s="3401"/>
      <c r="R2" s="3401"/>
      <c r="S2" s="3401"/>
      <c r="T2" s="3401"/>
      <c r="W2" s="3402" t="str">
        <f>A2</f>
        <v>PART THREE (A):  USES OF FUNDS  -  2024-0 Lewis Crossing, Atlanta, Fulton County</v>
      </c>
      <c r="X2" s="3402"/>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3" t="str">
        <f>'Part I-Project Identification'!$A$6</f>
        <v>2024 May 7</v>
      </c>
      <c r="E6" s="3403"/>
      <c r="F6" s="3403"/>
      <c r="G6" s="3403"/>
      <c r="H6" s="3403"/>
      <c r="I6" s="375"/>
      <c r="J6" s="3314" t="s">
        <v>259</v>
      </c>
      <c r="K6" s="3315"/>
      <c r="L6" s="280"/>
      <c r="M6" s="3327" t="s">
        <v>459</v>
      </c>
      <c r="N6" s="3328"/>
      <c r="P6" s="3314" t="s">
        <v>260</v>
      </c>
      <c r="Q6" s="3315"/>
      <c r="S6" s="3314" t="s">
        <v>261</v>
      </c>
      <c r="T6" s="3315"/>
      <c r="V6" s="343" t="str">
        <f>B6</f>
        <v>DEVELOPMENT BUDGET</v>
      </c>
      <c r="AZ6" s="1655"/>
      <c r="BA6" s="1618">
        <v>6</v>
      </c>
    </row>
    <row r="7" spans="1:53" s="144" customFormat="1" ht="19.5" customHeight="1" thickBot="1">
      <c r="D7" s="1168"/>
      <c r="E7" s="1168"/>
      <c r="F7" s="1168"/>
      <c r="G7" s="3331" t="s">
        <v>95</v>
      </c>
      <c r="H7" s="3332"/>
      <c r="J7" s="3316"/>
      <c r="K7" s="3317"/>
      <c r="L7" s="280"/>
      <c r="M7" s="3329"/>
      <c r="N7" s="3330"/>
      <c r="P7" s="3316"/>
      <c r="Q7" s="3317"/>
      <c r="S7" s="3316"/>
      <c r="T7" s="3317"/>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3">
        <v>9000</v>
      </c>
      <c r="H9" s="3184"/>
      <c r="J9" s="3183">
        <f t="shared" ref="J9:J14" si="0">G9</f>
        <v>9000</v>
      </c>
      <c r="K9" s="3184"/>
      <c r="L9" s="815"/>
      <c r="M9" s="3183"/>
      <c r="N9" s="3184"/>
      <c r="P9" s="3183"/>
      <c r="Q9" s="3184"/>
      <c r="S9" s="3183"/>
      <c r="T9" s="3184"/>
      <c r="V9" s="836"/>
      <c r="W9" s="3235"/>
      <c r="X9" s="3236"/>
      <c r="AZ9" s="1655"/>
      <c r="BA9" s="1618">
        <v>9</v>
      </c>
    </row>
    <row r="10" spans="1:53" s="144" customFormat="1" ht="11.25" customHeight="1">
      <c r="B10" s="144" t="s">
        <v>430</v>
      </c>
      <c r="G10" s="3163">
        <v>7000</v>
      </c>
      <c r="H10" s="3164"/>
      <c r="J10" s="3163">
        <f t="shared" si="0"/>
        <v>7000</v>
      </c>
      <c r="K10" s="3164"/>
      <c r="L10" s="815"/>
      <c r="M10" s="3163"/>
      <c r="N10" s="3164"/>
      <c r="P10" s="3163"/>
      <c r="Q10" s="3164"/>
      <c r="S10" s="3163"/>
      <c r="T10" s="3164"/>
      <c r="V10" s="836"/>
      <c r="W10" s="3235"/>
      <c r="X10" s="3236"/>
      <c r="AZ10" s="1655"/>
      <c r="BA10" s="1618">
        <v>10</v>
      </c>
    </row>
    <row r="11" spans="1:53" s="144" customFormat="1" ht="11.25" customHeight="1">
      <c r="B11" s="144" t="s">
        <v>457</v>
      </c>
      <c r="G11" s="3163">
        <v>60000</v>
      </c>
      <c r="H11" s="3164"/>
      <c r="J11" s="3163">
        <f t="shared" si="0"/>
        <v>60000</v>
      </c>
      <c r="K11" s="3164"/>
      <c r="L11" s="815"/>
      <c r="M11" s="3163"/>
      <c r="N11" s="3164"/>
      <c r="P11" s="3163"/>
      <c r="Q11" s="3164"/>
      <c r="S11" s="3163"/>
      <c r="T11" s="3164"/>
      <c r="V11" s="836"/>
      <c r="W11" s="3235"/>
      <c r="X11" s="3236"/>
      <c r="AZ11" s="1655"/>
      <c r="BA11" s="1618">
        <v>11</v>
      </c>
    </row>
    <row r="12" spans="1:53" s="144" customFormat="1" ht="11.25" customHeight="1">
      <c r="B12" s="144" t="s">
        <v>458</v>
      </c>
      <c r="G12" s="3163">
        <v>5000</v>
      </c>
      <c r="H12" s="3164"/>
      <c r="J12" s="3163">
        <f t="shared" si="0"/>
        <v>5000</v>
      </c>
      <c r="K12" s="3164"/>
      <c r="L12" s="815"/>
      <c r="M12" s="3163"/>
      <c r="N12" s="3164"/>
      <c r="P12" s="3163"/>
      <c r="Q12" s="3164"/>
      <c r="S12" s="3163"/>
      <c r="T12" s="3164"/>
      <c r="V12" s="836"/>
      <c r="W12" s="3235"/>
      <c r="X12" s="3236"/>
      <c r="AZ12" s="1655"/>
      <c r="BA12" s="1618">
        <v>12</v>
      </c>
    </row>
    <row r="13" spans="1:53" s="144" customFormat="1" ht="11.25" customHeight="1">
      <c r="B13" s="144" t="s">
        <v>2295</v>
      </c>
      <c r="G13" s="3163">
        <v>20000</v>
      </c>
      <c r="H13" s="3164"/>
      <c r="J13" s="3163">
        <f t="shared" si="0"/>
        <v>20000</v>
      </c>
      <c r="K13" s="3164"/>
      <c r="L13" s="815"/>
      <c r="M13" s="3163"/>
      <c r="N13" s="3164"/>
      <c r="P13" s="3163"/>
      <c r="Q13" s="3164"/>
      <c r="S13" s="3163"/>
      <c r="T13" s="3164"/>
      <c r="V13" s="836"/>
      <c r="W13" s="3235"/>
      <c r="X13" s="3236"/>
      <c r="AZ13" s="1655"/>
      <c r="BA13" s="1618">
        <v>13</v>
      </c>
    </row>
    <row r="14" spans="1:53" s="144" customFormat="1" ht="11.25" customHeight="1">
      <c r="B14" s="144" t="s">
        <v>183</v>
      </c>
      <c r="G14" s="3163">
        <v>5000</v>
      </c>
      <c r="H14" s="3164"/>
      <c r="J14" s="3163">
        <f t="shared" si="0"/>
        <v>5000</v>
      </c>
      <c r="K14" s="3164"/>
      <c r="L14" s="815"/>
      <c r="M14" s="3163"/>
      <c r="N14" s="3164"/>
      <c r="P14" s="3163"/>
      <c r="Q14" s="3164"/>
      <c r="S14" s="3163"/>
      <c r="T14" s="3164"/>
      <c r="V14" s="836"/>
      <c r="W14" s="3235"/>
      <c r="X14" s="3236"/>
      <c r="AZ14" s="1655"/>
      <c r="BA14" s="1618">
        <v>14</v>
      </c>
    </row>
    <row r="15" spans="1:53" s="144" customFormat="1" ht="11.25" customHeight="1">
      <c r="A15" s="303" t="str">
        <f>IF(AND(G15&gt;0,OR(C15="",C15="&lt;Enter detailed description here; use Comments section if needed&gt;")),"X","")</f>
        <v/>
      </c>
      <c r="B15" s="147" t="s">
        <v>4168</v>
      </c>
      <c r="C15" s="3325" t="s">
        <v>4613</v>
      </c>
      <c r="D15" s="3325"/>
      <c r="E15" s="3325"/>
      <c r="F15" s="3326"/>
      <c r="G15" s="3163"/>
      <c r="H15" s="3164"/>
      <c r="J15" s="3163"/>
      <c r="K15" s="3164"/>
      <c r="L15" s="815"/>
      <c r="M15" s="3163"/>
      <c r="N15" s="3164"/>
      <c r="P15" s="3163"/>
      <c r="Q15" s="3164"/>
      <c r="S15" s="3163"/>
      <c r="T15" s="3164"/>
      <c r="U15" s="302" t="str">
        <f>IF(AND(G15&gt;0,OR(C15="",C15="&lt;Enter detailed description here; use Comments section if needed&gt;")),"NO DESCRIPTION PROVIDED - please enter detailed description in Other box at left; use Comments section below if needed.","")</f>
        <v/>
      </c>
      <c r="V15" s="837"/>
      <c r="W15" s="3235"/>
      <c r="X15" s="3236"/>
      <c r="AZ15" s="1655" t="s">
        <v>4262</v>
      </c>
      <c r="BA15" s="1618">
        <v>15</v>
      </c>
    </row>
    <row r="16" spans="1:53" s="144" customFormat="1" ht="11.25" customHeight="1">
      <c r="A16" s="303" t="str">
        <f>IF(AND(G16&gt;0,OR(C16="",C16="&lt;Enter detailed description here; use Comments section if needed&gt;")),"X","")</f>
        <v/>
      </c>
      <c r="B16" s="147" t="s">
        <v>4169</v>
      </c>
      <c r="C16" s="3325" t="s">
        <v>4613</v>
      </c>
      <c r="D16" s="3325"/>
      <c r="E16" s="3325"/>
      <c r="F16" s="3326"/>
      <c r="G16" s="3163"/>
      <c r="H16" s="3164"/>
      <c r="J16" s="3163"/>
      <c r="K16" s="3164"/>
      <c r="L16" s="815"/>
      <c r="M16" s="3163"/>
      <c r="N16" s="3164"/>
      <c r="P16" s="3163"/>
      <c r="Q16" s="3164"/>
      <c r="S16" s="3163"/>
      <c r="T16" s="3164"/>
      <c r="U16" s="302" t="str">
        <f>IF(AND(G16&gt;0,OR(C16="",C16="&lt;Enter detailed description here; use Comments section if needed&gt;")),"NO DESCRIPTION PROVIDED - please enter detailed description in Other box at left; use Comments section below if needed.","")</f>
        <v/>
      </c>
      <c r="V16" s="837"/>
      <c r="W16" s="3235"/>
      <c r="X16" s="3236"/>
      <c r="AZ16" s="1655" t="s">
        <v>4263</v>
      </c>
      <c r="BA16" s="1618">
        <v>16</v>
      </c>
    </row>
    <row r="17" spans="1:53" s="144" customFormat="1" ht="11.25" customHeight="1" thickBot="1">
      <c r="A17" s="303" t="str">
        <f>IF(AND(G17&gt;0,OR(C17="",C17="&lt;Enter detailed description here; use Comments section if needed&gt;")),"X","")</f>
        <v/>
      </c>
      <c r="B17" s="147" t="s">
        <v>4170</v>
      </c>
      <c r="C17" s="3325" t="s">
        <v>4613</v>
      </c>
      <c r="D17" s="3325"/>
      <c r="E17" s="3325"/>
      <c r="F17" s="3326"/>
      <c r="G17" s="3333"/>
      <c r="H17" s="3334"/>
      <c r="J17" s="3333"/>
      <c r="K17" s="3334"/>
      <c r="L17" s="815"/>
      <c r="M17" s="3333"/>
      <c r="N17" s="3334"/>
      <c r="P17" s="3333"/>
      <c r="Q17" s="3334"/>
      <c r="S17" s="3333"/>
      <c r="T17" s="3334"/>
      <c r="U17" s="302" t="str">
        <f>IF(AND(G17&gt;0,OR(C17="",C17="&lt;Enter detailed description here; use Comments section if needed&gt;")),"NO DESCRIPTION PROVIDED - please enter detailed description in Other box at left; use Comments section below if needed.","")</f>
        <v/>
      </c>
      <c r="V17" s="837"/>
      <c r="W17" s="3286"/>
      <c r="X17" s="3287"/>
      <c r="AZ17" s="1655" t="s">
        <v>4264</v>
      </c>
      <c r="BA17" s="1618">
        <v>17</v>
      </c>
    </row>
    <row r="18" spans="1:53" s="144" customFormat="1" ht="12.6" customHeight="1" thickTop="1">
      <c r="F18" s="281" t="s">
        <v>184</v>
      </c>
      <c r="G18" s="3323">
        <f>SUM(G9:G17)</f>
        <v>106000</v>
      </c>
      <c r="H18" s="3324"/>
      <c r="J18" s="3323">
        <f>SUM(J9:J17)</f>
        <v>106000</v>
      </c>
      <c r="K18" s="3324"/>
      <c r="L18" s="815"/>
      <c r="M18" s="3323">
        <f>SUM(M9:M17)</f>
        <v>0</v>
      </c>
      <c r="N18" s="3324"/>
      <c r="P18" s="3323">
        <f>SUM(P9:P17)</f>
        <v>0</v>
      </c>
      <c r="Q18" s="3324"/>
      <c r="S18" s="3323">
        <f>SUM(S9:S17)</f>
        <v>0</v>
      </c>
      <c r="T18" s="3324"/>
      <c r="V18" s="838">
        <f>SUM(V9:V17)</f>
        <v>0</v>
      </c>
      <c r="W18" s="3307"/>
      <c r="X18" s="3308"/>
      <c r="AZ18" s="1655" t="s">
        <v>4265</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3137</v>
      </c>
      <c r="F20" s="1810">
        <f>IF('Part I-Project Identification'!$O$28="","",G20/'Part I-Project Identification'!$O$28)</f>
        <v>4285714.2857142854</v>
      </c>
      <c r="G20" s="3183">
        <v>2400000</v>
      </c>
      <c r="H20" s="3184"/>
      <c r="J20" s="283"/>
      <c r="K20" s="280"/>
      <c r="L20" s="283"/>
      <c r="M20" s="283"/>
      <c r="N20" s="280"/>
      <c r="P20" s="283"/>
      <c r="Q20" s="280"/>
      <c r="S20" s="3183">
        <f>G20</f>
        <v>2400000</v>
      </c>
      <c r="T20" s="3184"/>
      <c r="V20" s="836"/>
      <c r="W20" s="3235"/>
      <c r="X20" s="3236"/>
      <c r="AZ20" s="1655"/>
      <c r="BA20" s="1618">
        <v>20</v>
      </c>
    </row>
    <row r="21" spans="1:53" s="144" customFormat="1" ht="11.25" customHeight="1">
      <c r="B21" s="144" t="s">
        <v>1053</v>
      </c>
      <c r="G21" s="3163"/>
      <c r="H21" s="3164"/>
      <c r="J21" s="283"/>
      <c r="K21" s="280"/>
      <c r="L21" s="283"/>
      <c r="M21" s="283"/>
      <c r="N21" s="280"/>
      <c r="P21" s="283"/>
      <c r="Q21" s="280"/>
      <c r="S21" s="3163"/>
      <c r="T21" s="3164"/>
      <c r="V21" s="836"/>
      <c r="W21" s="3235"/>
      <c r="X21" s="3236"/>
      <c r="AZ21" s="1655"/>
      <c r="BA21" s="1618">
        <v>21</v>
      </c>
    </row>
    <row r="22" spans="1:53" s="144" customFormat="1" ht="11.25" customHeight="1">
      <c r="B22" s="144" t="s">
        <v>431</v>
      </c>
      <c r="G22" s="3163"/>
      <c r="H22" s="3164"/>
      <c r="J22" s="283"/>
      <c r="K22" s="280"/>
      <c r="L22" s="283"/>
      <c r="M22" s="3183"/>
      <c r="N22" s="3184"/>
      <c r="P22" s="283"/>
      <c r="Q22" s="280"/>
      <c r="S22" s="3163"/>
      <c r="T22" s="3164"/>
      <c r="V22" s="836"/>
      <c r="W22" s="3235"/>
      <c r="X22" s="3236"/>
      <c r="AZ22" s="1655"/>
      <c r="BA22" s="1618">
        <v>22</v>
      </c>
    </row>
    <row r="23" spans="1:53" s="144" customFormat="1" ht="11.25" customHeight="1" thickBot="1">
      <c r="B23" s="144" t="s">
        <v>404</v>
      </c>
      <c r="G23" s="3333"/>
      <c r="H23" s="3334"/>
      <c r="J23" s="283"/>
      <c r="K23" s="280"/>
      <c r="L23" s="283"/>
      <c r="M23" s="3333"/>
      <c r="N23" s="3334"/>
      <c r="P23" s="283"/>
      <c r="Q23" s="280"/>
      <c r="S23" s="3333"/>
      <c r="T23" s="3334"/>
      <c r="V23" s="836"/>
      <c r="W23" s="3286"/>
      <c r="X23" s="3287"/>
      <c r="AZ23" s="1655"/>
      <c r="BA23" s="1618">
        <v>23</v>
      </c>
    </row>
    <row r="24" spans="1:53" s="144" customFormat="1" ht="12.6" customHeight="1" thickTop="1">
      <c r="F24" s="281" t="s">
        <v>184</v>
      </c>
      <c r="G24" s="3323">
        <f>SUM(G20:G23)</f>
        <v>2400000</v>
      </c>
      <c r="H24" s="3324"/>
      <c r="J24" s="283"/>
      <c r="K24" s="280"/>
      <c r="L24" s="283"/>
      <c r="M24" s="3323">
        <f>SUM(M22:M23)</f>
        <v>0</v>
      </c>
      <c r="N24" s="3324"/>
      <c r="P24" s="283"/>
      <c r="Q24" s="280"/>
      <c r="S24" s="3323">
        <f>SUM(S20:S23)</f>
        <v>2400000</v>
      </c>
      <c r="T24" s="3324"/>
      <c r="V24" s="838">
        <f>SUM(V20:V23)</f>
        <v>0</v>
      </c>
      <c r="W24" s="3307"/>
      <c r="X24" s="3308"/>
      <c r="AZ24" s="1655" t="s">
        <v>4266</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3137</v>
      </c>
      <c r="F26" s="1810">
        <f>IF('Part I-Project Identification'!$O$28="","",G26/'Part I-Project Identification'!$O$28)</f>
        <v>3446428.5714285709</v>
      </c>
      <c r="G26" s="3183">
        <v>1930000</v>
      </c>
      <c r="H26" s="3184"/>
      <c r="J26" s="3183">
        <f>G26</f>
        <v>1930000</v>
      </c>
      <c r="K26" s="3184"/>
      <c r="L26" s="815"/>
      <c r="M26" s="3398"/>
      <c r="N26" s="3399"/>
      <c r="P26" s="3398"/>
      <c r="Q26" s="3399"/>
      <c r="S26" s="3183"/>
      <c r="T26" s="3184"/>
      <c r="V26" s="836"/>
      <c r="W26" s="3235"/>
      <c r="X26" s="3236"/>
      <c r="AZ26" s="1655"/>
      <c r="BA26" s="1618">
        <v>26</v>
      </c>
    </row>
    <row r="27" spans="1:53" s="144" customFormat="1" ht="11.25" customHeight="1" thickBot="1">
      <c r="B27" s="144" t="s">
        <v>1056</v>
      </c>
      <c r="G27" s="3333"/>
      <c r="H27" s="3334"/>
      <c r="J27" s="3333"/>
      <c r="K27" s="3334"/>
      <c r="L27" s="284"/>
      <c r="M27" s="3397"/>
      <c r="N27" s="3397"/>
      <c r="P27" s="3397"/>
      <c r="Q27" s="3397"/>
      <c r="S27" s="3333"/>
      <c r="T27" s="3334"/>
      <c r="V27" s="836"/>
      <c r="W27" s="3286"/>
      <c r="X27" s="3287"/>
      <c r="AZ27" s="1655"/>
      <c r="BA27" s="1618">
        <v>27</v>
      </c>
    </row>
    <row r="28" spans="1:53" s="144" customFormat="1" ht="12.6" customHeight="1" thickTop="1">
      <c r="F28" s="281" t="s">
        <v>184</v>
      </c>
      <c r="G28" s="3323">
        <f>SUM(G26:G27)</f>
        <v>1930000</v>
      </c>
      <c r="H28" s="3324"/>
      <c r="J28" s="3323">
        <f>SUM(J26:J27)</f>
        <v>1930000</v>
      </c>
      <c r="K28" s="3324"/>
      <c r="L28" s="283"/>
      <c r="M28" s="3323">
        <f>M26</f>
        <v>0</v>
      </c>
      <c r="N28" s="3324"/>
      <c r="P28" s="3323">
        <f>P26</f>
        <v>0</v>
      </c>
      <c r="Q28" s="3324"/>
      <c r="S28" s="3323">
        <f>SUM(S26:S27)</f>
        <v>0</v>
      </c>
      <c r="T28" s="3324"/>
      <c r="V28" s="838">
        <f>SUM(V26:V27)</f>
        <v>0</v>
      </c>
      <c r="W28" s="3307"/>
      <c r="X28" s="3308"/>
      <c r="AZ28" s="1655" t="s">
        <v>4267</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3">
        <v>10247600</v>
      </c>
      <c r="H30" s="3184"/>
      <c r="J30" s="3183">
        <f>G30</f>
        <v>10247600</v>
      </c>
      <c r="K30" s="3184"/>
      <c r="L30" s="815"/>
      <c r="M30" s="3183"/>
      <c r="N30" s="3184"/>
      <c r="P30" s="3183"/>
      <c r="Q30" s="3184"/>
      <c r="S30" s="3183"/>
      <c r="T30" s="3184"/>
      <c r="V30" s="836"/>
      <c r="W30" s="3235"/>
      <c r="X30" s="3236"/>
      <c r="AZ30" s="1655"/>
      <c r="BA30" s="1618">
        <v>30</v>
      </c>
    </row>
    <row r="31" spans="1:53" s="144" customFormat="1" ht="11.25" customHeight="1">
      <c r="B31" s="144" t="s">
        <v>1059</v>
      </c>
      <c r="G31" s="3163"/>
      <c r="H31" s="3164"/>
      <c r="J31" s="3163"/>
      <c r="K31" s="3164"/>
      <c r="L31" s="815"/>
      <c r="M31" s="3163"/>
      <c r="N31" s="3164"/>
      <c r="P31" s="3163"/>
      <c r="Q31" s="3164"/>
      <c r="S31" s="3163"/>
      <c r="T31" s="3164"/>
      <c r="V31" s="836"/>
      <c r="W31" s="3235"/>
      <c r="X31" s="3236"/>
      <c r="AZ31" s="1655"/>
      <c r="BA31" s="1618">
        <v>31</v>
      </c>
    </row>
    <row r="32" spans="1:53" s="144" customFormat="1" ht="11.25" customHeight="1">
      <c r="B32" s="144" t="s">
        <v>3989</v>
      </c>
      <c r="G32" s="3163"/>
      <c r="H32" s="3164"/>
      <c r="J32" s="3163"/>
      <c r="K32" s="3164"/>
      <c r="L32" s="815"/>
      <c r="M32" s="3163"/>
      <c r="N32" s="3164"/>
      <c r="P32" s="3163"/>
      <c r="Q32" s="3164"/>
      <c r="S32" s="3163"/>
      <c r="T32" s="3164"/>
      <c r="V32" s="836"/>
      <c r="W32" s="3235"/>
      <c r="X32" s="3236"/>
      <c r="AZ32" s="1655"/>
      <c r="BA32" s="1618">
        <v>32</v>
      </c>
    </row>
    <row r="33" spans="1:53" s="144" customFormat="1" ht="11.25" customHeight="1">
      <c r="B33" s="144" t="s">
        <v>3987</v>
      </c>
      <c r="G33" s="3163"/>
      <c r="H33" s="3164"/>
      <c r="J33" s="3163"/>
      <c r="K33" s="3164"/>
      <c r="L33" s="815"/>
      <c r="M33" s="3163"/>
      <c r="N33" s="3164"/>
      <c r="P33" s="3163"/>
      <c r="Q33" s="3164"/>
      <c r="S33" s="3163"/>
      <c r="T33" s="3164"/>
      <c r="V33" s="836"/>
      <c r="W33" s="3235"/>
      <c r="X33" s="3236"/>
      <c r="AZ33" s="1655"/>
      <c r="BA33" s="1618">
        <v>33</v>
      </c>
    </row>
    <row r="34" spans="1:53" ht="11.25" customHeight="1">
      <c r="B34" s="144" t="s">
        <v>2488</v>
      </c>
      <c r="G34" s="3163"/>
      <c r="H34" s="3164"/>
      <c r="I34" s="144"/>
      <c r="J34" s="3163"/>
      <c r="K34" s="3164"/>
      <c r="L34" s="815"/>
      <c r="M34" s="3163"/>
      <c r="N34" s="3164"/>
      <c r="O34" s="144"/>
      <c r="P34" s="3163"/>
      <c r="Q34" s="3164"/>
      <c r="R34" s="144"/>
      <c r="S34" s="3163"/>
      <c r="T34" s="3164"/>
      <c r="V34" s="836"/>
      <c r="W34" s="3286"/>
      <c r="X34" s="3287"/>
      <c r="BA34" s="1618">
        <v>34</v>
      </c>
    </row>
    <row r="35" spans="1:53" ht="11.25" customHeight="1" thickBot="1">
      <c r="B35" s="144" t="s">
        <v>3988</v>
      </c>
      <c r="G35" s="3395"/>
      <c r="H35" s="3396"/>
      <c r="I35" s="144"/>
      <c r="J35" s="3395"/>
      <c r="K35" s="3396"/>
      <c r="L35" s="815"/>
      <c r="M35" s="3395"/>
      <c r="N35" s="3396"/>
      <c r="O35" s="144"/>
      <c r="P35" s="3395"/>
      <c r="Q35" s="3396"/>
      <c r="R35" s="144"/>
      <c r="S35" s="3395"/>
      <c r="T35" s="3396"/>
      <c r="V35" s="836"/>
      <c r="W35" s="3286"/>
      <c r="X35" s="3287"/>
      <c r="BA35" s="1618">
        <v>35</v>
      </c>
    </row>
    <row r="36" spans="1:53" s="144" customFormat="1" ht="12.6" customHeight="1" thickTop="1">
      <c r="C36" s="3394"/>
      <c r="D36" s="3394"/>
      <c r="E36" s="816"/>
      <c r="F36" s="281" t="s">
        <v>184</v>
      </c>
      <c r="G36" s="3323">
        <f>SUM(G30:G35)</f>
        <v>10247600</v>
      </c>
      <c r="H36" s="3324"/>
      <c r="J36" s="3323">
        <f>SUM(J30:J35)</f>
        <v>10247600</v>
      </c>
      <c r="K36" s="3324"/>
      <c r="L36" s="815"/>
      <c r="M36" s="3323">
        <f>SUM(M30:M35)</f>
        <v>0</v>
      </c>
      <c r="N36" s="3324"/>
      <c r="P36" s="3323">
        <f>SUM(P30:P35)</f>
        <v>0</v>
      </c>
      <c r="Q36" s="3324"/>
      <c r="S36" s="3323">
        <f>SUM(S30:S35)</f>
        <v>0</v>
      </c>
      <c r="T36" s="3324"/>
      <c r="V36" s="838">
        <f>SUM(V30:V35)</f>
        <v>0</v>
      </c>
      <c r="W36" s="3307"/>
      <c r="X36" s="3308"/>
      <c r="AZ36" s="1655" t="s">
        <v>4268</v>
      </c>
      <c r="BA36" s="1618">
        <v>36</v>
      </c>
    </row>
    <row r="37" spans="1:53" s="144" customFormat="1" ht="12" customHeight="1">
      <c r="B37" s="243" t="s">
        <v>2157</v>
      </c>
      <c r="D37" s="3393" t="s">
        <v>3141</v>
      </c>
      <c r="E37" s="3393"/>
      <c r="F37" s="747">
        <f>SUM(F38:F40)</f>
        <v>0.13999991788201288</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730656</v>
      </c>
      <c r="F38" s="1859">
        <f>IF(($G$28+$G$36)=0,0,G38/($G$28+$G$36))</f>
        <v>0.06</v>
      </c>
      <c r="G38" s="3183">
        <v>730656</v>
      </c>
      <c r="H38" s="3184"/>
      <c r="I38" s="145"/>
      <c r="J38" s="3183">
        <f>G38</f>
        <v>730656</v>
      </c>
      <c r="K38" s="3184"/>
      <c r="L38" s="815"/>
      <c r="M38" s="3183"/>
      <c r="N38" s="3184"/>
      <c r="P38" s="3183"/>
      <c r="Q38" s="3184"/>
      <c r="S38" s="3183"/>
      <c r="T38" s="3184"/>
      <c r="V38" s="836"/>
      <c r="W38" s="3235"/>
      <c r="X38" s="3236"/>
      <c r="AZ38" s="1655"/>
      <c r="BA38" s="1618">
        <v>38</v>
      </c>
    </row>
    <row r="39" spans="1:53" s="144" customFormat="1" ht="11.25" customHeight="1">
      <c r="B39" s="144" t="s">
        <v>2469</v>
      </c>
      <c r="D39" s="1857">
        <f>'DCA Underwriting Assumptions'!$R$53</f>
        <v>0.02</v>
      </c>
      <c r="E39" s="1858">
        <f>ROUNDDOWN(D39*(G28+G36),0)</f>
        <v>243552</v>
      </c>
      <c r="F39" s="1859">
        <f>IF(($G$28+$G$36)=0,0,G39/($G$28+$G$36))</f>
        <v>1.9999917882012875E-2</v>
      </c>
      <c r="G39" s="3163">
        <v>243551</v>
      </c>
      <c r="H39" s="3164"/>
      <c r="I39" s="145"/>
      <c r="J39" s="3163">
        <f>G39</f>
        <v>243551</v>
      </c>
      <c r="K39" s="3164"/>
      <c r="L39" s="815"/>
      <c r="M39" s="3163"/>
      <c r="N39" s="3164"/>
      <c r="P39" s="3163"/>
      <c r="Q39" s="3164"/>
      <c r="S39" s="3163"/>
      <c r="T39" s="3164"/>
      <c r="V39" s="836"/>
      <c r="W39" s="3235"/>
      <c r="X39" s="3236"/>
      <c r="AZ39" s="1655"/>
      <c r="BA39" s="1618">
        <v>39</v>
      </c>
    </row>
    <row r="40" spans="1:53" s="144" customFormat="1" ht="11.25" customHeight="1" thickBot="1">
      <c r="B40" s="144" t="s">
        <v>2470</v>
      </c>
      <c r="D40" s="1860">
        <f>'DCA Underwriting Assumptions'!$R$54</f>
        <v>0.06</v>
      </c>
      <c r="E40" s="1861">
        <f>ROUNDDOWN(D40*(G28+G36),0)</f>
        <v>730656</v>
      </c>
      <c r="F40" s="1862">
        <f>IF(($G$28+$G$36)=0,0,G40/($G$28+$G$36))</f>
        <v>0.06</v>
      </c>
      <c r="G40" s="3333">
        <v>730656</v>
      </c>
      <c r="H40" s="3334"/>
      <c r="I40" s="145"/>
      <c r="J40" s="3333">
        <f>G40</f>
        <v>730656</v>
      </c>
      <c r="K40" s="3334"/>
      <c r="L40" s="815"/>
      <c r="M40" s="3333"/>
      <c r="N40" s="3334"/>
      <c r="P40" s="3333"/>
      <c r="Q40" s="3334"/>
      <c r="S40" s="3333"/>
      <c r="T40" s="3334"/>
      <c r="V40" s="836"/>
      <c r="W40" s="3286"/>
      <c r="X40" s="3287"/>
      <c r="AZ40" s="1655"/>
      <c r="BA40" s="1618">
        <v>40</v>
      </c>
    </row>
    <row r="41" spans="1:53" s="144" customFormat="1" ht="12.6" customHeight="1" thickTop="1">
      <c r="B41" s="147" t="s">
        <v>3142</v>
      </c>
      <c r="D41" s="748">
        <f>SUM(D38:D40)</f>
        <v>0.14000000000000001</v>
      </c>
      <c r="E41" s="749">
        <f>SUM(E38:E40)</f>
        <v>1704864</v>
      </c>
      <c r="F41" s="1856" t="s">
        <v>184</v>
      </c>
      <c r="G41" s="3323">
        <f>SUM(G38:G40)</f>
        <v>1704863</v>
      </c>
      <c r="H41" s="3324"/>
      <c r="J41" s="3323">
        <f>SUM(J38:J40)</f>
        <v>1704863</v>
      </c>
      <c r="K41" s="3324"/>
      <c r="L41" s="283"/>
      <c r="M41" s="3323">
        <f>SUM(M38:M40)</f>
        <v>0</v>
      </c>
      <c r="N41" s="3324"/>
      <c r="P41" s="3323">
        <f>SUM(P38:P40)</f>
        <v>0</v>
      </c>
      <c r="Q41" s="3324"/>
      <c r="S41" s="3323">
        <f>SUM(S38:S40)</f>
        <v>0</v>
      </c>
      <c r="T41" s="3324"/>
      <c r="V41" s="838">
        <f>SUM(V38:V40)</f>
        <v>0</v>
      </c>
      <c r="W41" s="3307"/>
      <c r="X41" s="3308"/>
      <c r="AZ41" s="1655" t="s">
        <v>4269</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4386</v>
      </c>
      <c r="D43" s="1624"/>
      <c r="E43" s="1561"/>
      <c r="F43" s="1561"/>
      <c r="G43" s="3389">
        <f>G28+G36+G41</f>
        <v>13882463</v>
      </c>
      <c r="H43" s="3390"/>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4270</v>
      </c>
      <c r="BA44" s="1618">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4171</v>
      </c>
      <c r="C46" s="3325" t="s">
        <v>4613</v>
      </c>
      <c r="D46" s="3391"/>
      <c r="E46" s="3391"/>
      <c r="F46" s="3392"/>
      <c r="G46" s="3384"/>
      <c r="H46" s="3385"/>
      <c r="I46" s="144"/>
      <c r="J46" s="3384"/>
      <c r="K46" s="3385"/>
      <c r="L46" s="815"/>
      <c r="M46" s="3384"/>
      <c r="N46" s="3385"/>
      <c r="O46" s="144"/>
      <c r="P46" s="3384"/>
      <c r="Q46" s="3385"/>
      <c r="R46" s="144"/>
      <c r="S46" s="3384"/>
      <c r="T46" s="3385"/>
      <c r="V46" s="836"/>
      <c r="W46" s="3372"/>
      <c r="X46" s="3373"/>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4"/>
      <c r="X47" s="3375"/>
      <c r="AZ47" s="1655" t="s">
        <v>4271</v>
      </c>
      <c r="BA47" s="1618">
        <v>47</v>
      </c>
    </row>
    <row r="48" spans="1:53" s="144" customFormat="1" ht="12.6" customHeight="1">
      <c r="B48" s="1577" t="s">
        <v>2473</v>
      </c>
      <c r="C48" s="1578"/>
      <c r="E48" s="3387" t="s">
        <v>2472</v>
      </c>
      <c r="F48" s="1579">
        <f>C49/'Part V-Revenues &amp; Expenses'!$P$65</f>
        <v>277649.26</v>
      </c>
      <c r="G48" s="1580" t="s">
        <v>2486</v>
      </c>
      <c r="H48" s="1581"/>
      <c r="I48" s="1581"/>
      <c r="J48" s="3380">
        <f>C49/'Part V-Revenues &amp; Expenses'!$P$67</f>
        <v>277649.26</v>
      </c>
      <c r="K48" s="3380"/>
      <c r="L48" s="1581"/>
      <c r="M48" s="3381" t="s">
        <v>4372</v>
      </c>
      <c r="N48" s="3381"/>
      <c r="O48" s="1581"/>
      <c r="P48" s="3380">
        <f>C49/'Part V-Revenues &amp; Expenses'!$K$179</f>
        <v>253.32961678832118</v>
      </c>
      <c r="Q48" s="3380"/>
      <c r="R48" s="1581"/>
      <c r="S48" s="3382" t="s">
        <v>4374</v>
      </c>
      <c r="T48" s="3383"/>
      <c r="V48" s="839"/>
      <c r="W48" s="3374"/>
      <c r="X48" s="3375"/>
      <c r="AZ48" s="1655"/>
      <c r="BA48" s="1618">
        <v>48</v>
      </c>
    </row>
    <row r="49" spans="1:53" s="144" customFormat="1" ht="12.6" customHeight="1">
      <c r="B49" s="1626" t="s">
        <v>4385</v>
      </c>
      <c r="C49" s="1625">
        <f>G28+G36+G41+G46</f>
        <v>13882463</v>
      </c>
      <c r="E49" s="3388"/>
      <c r="F49" s="1582">
        <f>C49/'Part V-Revenues &amp; Expenses'!$P$170</f>
        <v>321.18974133543105</v>
      </c>
      <c r="G49" s="1583" t="s">
        <v>2487</v>
      </c>
      <c r="H49" s="1584"/>
      <c r="I49" s="1584"/>
      <c r="J49" s="3370">
        <f>C49/'Part V-Revenues &amp; Expenses'!$P$172</f>
        <v>321.18974133543105</v>
      </c>
      <c r="K49" s="3370"/>
      <c r="L49" s="1584"/>
      <c r="M49" s="3371" t="s">
        <v>4373</v>
      </c>
      <c r="N49" s="3371"/>
      <c r="O49" s="1584"/>
      <c r="P49" s="1584"/>
      <c r="Q49" s="1584"/>
      <c r="R49" s="1584"/>
      <c r="S49" s="1584"/>
      <c r="T49" s="1585"/>
      <c r="V49" s="839"/>
      <c r="W49" s="3376"/>
      <c r="X49" s="3377"/>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2518</v>
      </c>
      <c r="J51" s="3314" t="s">
        <v>259</v>
      </c>
      <c r="K51" s="3315"/>
      <c r="L51" s="280"/>
      <c r="M51" s="3327" t="s">
        <v>459</v>
      </c>
      <c r="N51" s="3328"/>
      <c r="P51" s="3314" t="s">
        <v>260</v>
      </c>
      <c r="Q51" s="3315"/>
      <c r="S51" s="3314" t="s">
        <v>261</v>
      </c>
      <c r="T51" s="3315"/>
      <c r="V51" s="839"/>
      <c r="W51" s="343" t="str">
        <f>B51</f>
        <v>DEVELOPMENT BUDGET (cont'd)</v>
      </c>
      <c r="AZ51" s="1655"/>
      <c r="BA51" s="1618">
        <v>58</v>
      </c>
    </row>
    <row r="52" spans="1:53" s="144" customFormat="1" ht="18.75" customHeight="1" thickBot="1">
      <c r="G52" s="3331" t="s">
        <v>95</v>
      </c>
      <c r="H52" s="3332"/>
      <c r="J52" s="3316"/>
      <c r="K52" s="3317"/>
      <c r="L52" s="280"/>
      <c r="M52" s="3329"/>
      <c r="N52" s="3330"/>
      <c r="P52" s="3316"/>
      <c r="Q52" s="3317"/>
      <c r="S52" s="3316"/>
      <c r="T52" s="3317"/>
      <c r="V52" s="839"/>
      <c r="W52" s="3386" t="s">
        <v>2441</v>
      </c>
      <c r="X52" s="3386"/>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4193</v>
      </c>
      <c r="F54" s="231" t="s">
        <v>3323</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3322</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694123.15</v>
      </c>
      <c r="F55" s="1666">
        <f>G55/C49</f>
        <v>4.9999989195000913E-2</v>
      </c>
      <c r="G55" s="3384">
        <v>694123</v>
      </c>
      <c r="H55" s="3385"/>
      <c r="I55" s="144"/>
      <c r="J55" s="3384">
        <f>G55</f>
        <v>694123</v>
      </c>
      <c r="K55" s="3385"/>
      <c r="L55" s="815"/>
      <c r="M55" s="3384"/>
      <c r="N55" s="3385"/>
      <c r="O55" s="144"/>
      <c r="P55" s="3384"/>
      <c r="Q55" s="3385"/>
      <c r="R55" s="144"/>
      <c r="S55" s="3384"/>
      <c r="T55" s="3385"/>
      <c r="V55" s="836"/>
      <c r="W55" s="3235"/>
      <c r="X55" s="3236"/>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2"/>
      <c r="X56" s="3373"/>
      <c r="AZ56" s="1655"/>
      <c r="BA56" s="1618">
        <v>53</v>
      </c>
    </row>
    <row r="57" spans="1:53" s="144" customFormat="1" ht="12.6" customHeight="1">
      <c r="B57" s="1586" t="s">
        <v>4194</v>
      </c>
      <c r="C57" s="1578"/>
      <c r="E57" s="3378" t="s">
        <v>4195</v>
      </c>
      <c r="F57" s="1579">
        <f>B58/'Part V-Revenues &amp; Expenses'!$P$65</f>
        <v>291531.71999999997</v>
      </c>
      <c r="G57" s="1580" t="s">
        <v>2486</v>
      </c>
      <c r="H57" s="1581"/>
      <c r="I57" s="1581"/>
      <c r="J57" s="3380">
        <f>B58/'Part V-Revenues &amp; Expenses'!$P$67</f>
        <v>291531.71999999997</v>
      </c>
      <c r="K57" s="3380"/>
      <c r="L57" s="1581"/>
      <c r="M57" s="3381" t="s">
        <v>4372</v>
      </c>
      <c r="N57" s="3381"/>
      <c r="O57" s="1581"/>
      <c r="P57" s="3380">
        <f>B58/'Part V-Revenues &amp; Expenses'!$K$179</f>
        <v>265.99609489051096</v>
      </c>
      <c r="Q57" s="3380"/>
      <c r="R57" s="1581"/>
      <c r="S57" s="3382" t="s">
        <v>4374</v>
      </c>
      <c r="T57" s="3383"/>
      <c r="V57" s="839"/>
      <c r="W57" s="3374"/>
      <c r="X57" s="3375"/>
      <c r="AZ57" s="1655"/>
      <c r="BA57" s="1618">
        <v>54</v>
      </c>
    </row>
    <row r="58" spans="1:53" s="144" customFormat="1" ht="12.6" customHeight="1">
      <c r="B58" s="3368">
        <f>C49+G55</f>
        <v>14576586</v>
      </c>
      <c r="C58" s="3369"/>
      <c r="E58" s="3379"/>
      <c r="F58" s="1582">
        <f>B58/'Part V-Revenues &amp; Expenses'!$P$170</f>
        <v>337.24922493174773</v>
      </c>
      <c r="G58" s="1583" t="s">
        <v>2487</v>
      </c>
      <c r="H58" s="1584"/>
      <c r="I58" s="1584"/>
      <c r="J58" s="3370">
        <f>B58/'Part V-Revenues &amp; Expenses'!$P$172</f>
        <v>337.24922493174773</v>
      </c>
      <c r="K58" s="3370"/>
      <c r="L58" s="1584"/>
      <c r="M58" s="3371" t="s">
        <v>4373</v>
      </c>
      <c r="N58" s="3371"/>
      <c r="O58" s="1584"/>
      <c r="P58" s="1584"/>
      <c r="Q58" s="1584"/>
      <c r="R58" s="1584"/>
      <c r="S58" s="1584"/>
      <c r="T58" s="1585"/>
      <c r="V58" s="839"/>
      <c r="W58" s="3374"/>
      <c r="X58" s="3375"/>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6"/>
      <c r="X59" s="3377"/>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3143</v>
      </c>
      <c r="G61" s="3183"/>
      <c r="H61" s="3184"/>
      <c r="J61" s="3183"/>
      <c r="K61" s="3184"/>
      <c r="L61" s="815"/>
      <c r="M61" s="3183"/>
      <c r="N61" s="3184"/>
      <c r="P61" s="3183"/>
      <c r="Q61" s="3184"/>
      <c r="S61" s="3183"/>
      <c r="T61" s="3184"/>
      <c r="V61" s="840"/>
      <c r="W61" s="3235"/>
      <c r="X61" s="3236"/>
      <c r="AZ61" s="1655"/>
      <c r="BA61" s="1618">
        <v>61</v>
      </c>
    </row>
    <row r="62" spans="1:53" s="144" customFormat="1" ht="12" customHeight="1">
      <c r="B62" s="144" t="s">
        <v>3144</v>
      </c>
      <c r="G62" s="3163"/>
      <c r="H62" s="3164"/>
      <c r="J62" s="3163"/>
      <c r="K62" s="3164"/>
      <c r="L62" s="815"/>
      <c r="M62" s="3163"/>
      <c r="N62" s="3164"/>
      <c r="P62" s="3163"/>
      <c r="Q62" s="3164"/>
      <c r="S62" s="3163"/>
      <c r="T62" s="3164"/>
      <c r="V62" s="840"/>
      <c r="W62" s="3235"/>
      <c r="X62" s="3236"/>
      <c r="AZ62" s="1655"/>
      <c r="BA62" s="1618">
        <v>62</v>
      </c>
    </row>
    <row r="63" spans="1:53" s="144" customFormat="1" ht="12" customHeight="1">
      <c r="B63" s="144" t="s">
        <v>2160</v>
      </c>
      <c r="G63" s="3163">
        <v>173000</v>
      </c>
      <c r="H63" s="3164"/>
      <c r="J63" s="3163">
        <f>G63</f>
        <v>173000</v>
      </c>
      <c r="K63" s="3164"/>
      <c r="L63" s="815"/>
      <c r="M63" s="3163"/>
      <c r="N63" s="3164"/>
      <c r="P63" s="3163"/>
      <c r="Q63" s="3164"/>
      <c r="S63" s="3163"/>
      <c r="T63" s="3164"/>
      <c r="V63" s="840"/>
      <c r="W63" s="3235"/>
      <c r="X63" s="3236"/>
      <c r="AZ63" s="1655"/>
      <c r="BA63" s="1618">
        <v>63</v>
      </c>
    </row>
    <row r="64" spans="1:53" s="144" customFormat="1" ht="12" customHeight="1">
      <c r="B64" s="144" t="s">
        <v>2161</v>
      </c>
      <c r="G64" s="3163">
        <v>1323284</v>
      </c>
      <c r="H64" s="3164"/>
      <c r="J64" s="3163">
        <v>1028209</v>
      </c>
      <c r="K64" s="3164"/>
      <c r="L64" s="815"/>
      <c r="M64" s="3163"/>
      <c r="N64" s="3164"/>
      <c r="P64" s="3163"/>
      <c r="Q64" s="3164"/>
      <c r="S64" s="3163">
        <f>G64-J64</f>
        <v>295075</v>
      </c>
      <c r="T64" s="3164"/>
      <c r="V64" s="840"/>
      <c r="W64" s="3235"/>
      <c r="X64" s="3236"/>
      <c r="AZ64" s="1655"/>
      <c r="BA64" s="1618">
        <v>64</v>
      </c>
    </row>
    <row r="65" spans="1:53" s="144" customFormat="1" ht="12" customHeight="1">
      <c r="B65" s="144" t="s">
        <v>2162</v>
      </c>
      <c r="G65" s="3163">
        <v>40000</v>
      </c>
      <c r="H65" s="3164"/>
      <c r="J65" s="3163">
        <f>G65</f>
        <v>40000</v>
      </c>
      <c r="K65" s="3164"/>
      <c r="L65" s="815"/>
      <c r="M65" s="3163"/>
      <c r="N65" s="3164"/>
      <c r="P65" s="3163"/>
      <c r="Q65" s="3164"/>
      <c r="S65" s="3163"/>
      <c r="T65" s="3164"/>
      <c r="V65" s="840"/>
      <c r="W65" s="3235"/>
      <c r="X65" s="3236"/>
      <c r="AZ65" s="1655" t="s">
        <v>4272</v>
      </c>
      <c r="BA65" s="1618">
        <v>65</v>
      </c>
    </row>
    <row r="66" spans="1:53" s="144" customFormat="1" ht="12" customHeight="1">
      <c r="B66" s="144" t="s">
        <v>2443</v>
      </c>
      <c r="G66" s="3163">
        <v>25000</v>
      </c>
      <c r="H66" s="3164"/>
      <c r="J66" s="3163">
        <f>G66</f>
        <v>25000</v>
      </c>
      <c r="K66" s="3164"/>
      <c r="L66" s="815"/>
      <c r="M66" s="3163"/>
      <c r="N66" s="3164"/>
      <c r="P66" s="3163"/>
      <c r="Q66" s="3164"/>
      <c r="S66" s="3163"/>
      <c r="T66" s="3164"/>
      <c r="V66" s="840"/>
      <c r="W66" s="3235"/>
      <c r="X66" s="3236"/>
      <c r="AZ66" s="1655" t="s">
        <v>4273</v>
      </c>
      <c r="BA66" s="1618">
        <v>66</v>
      </c>
    </row>
    <row r="67" spans="1:53" s="144" customFormat="1" ht="12" customHeight="1">
      <c r="B67" s="144" t="s">
        <v>675</v>
      </c>
      <c r="G67" s="3163">
        <v>15000</v>
      </c>
      <c r="H67" s="3164"/>
      <c r="J67" s="3163">
        <f>G67</f>
        <v>15000</v>
      </c>
      <c r="K67" s="3164"/>
      <c r="L67" s="815"/>
      <c r="M67" s="3163"/>
      <c r="N67" s="3164"/>
      <c r="P67" s="3163"/>
      <c r="Q67" s="3164"/>
      <c r="S67" s="3163"/>
      <c r="T67" s="3164"/>
      <c r="V67" s="840"/>
      <c r="W67" s="3235"/>
      <c r="X67" s="3236"/>
      <c r="AZ67" s="1655" t="s">
        <v>4274</v>
      </c>
      <c r="BA67" s="1618">
        <v>67</v>
      </c>
    </row>
    <row r="68" spans="1:53" s="144" customFormat="1" ht="12" customHeight="1">
      <c r="B68" s="144" t="s">
        <v>2163</v>
      </c>
      <c r="G68" s="3163">
        <v>135000</v>
      </c>
      <c r="H68" s="3164"/>
      <c r="J68" s="3163">
        <f>G68</f>
        <v>135000</v>
      </c>
      <c r="K68" s="3164"/>
      <c r="L68" s="815"/>
      <c r="M68" s="3163"/>
      <c r="N68" s="3164"/>
      <c r="P68" s="3163"/>
      <c r="Q68" s="3164"/>
      <c r="S68" s="3163"/>
      <c r="T68" s="3164"/>
      <c r="V68" s="840"/>
      <c r="W68" s="3235"/>
      <c r="X68" s="3236"/>
      <c r="AZ68" s="1655"/>
      <c r="BA68" s="1618">
        <v>68</v>
      </c>
    </row>
    <row r="69" spans="1:53" s="144" customFormat="1" ht="12" customHeight="1">
      <c r="B69" s="144" t="s">
        <v>1198</v>
      </c>
      <c r="G69" s="3163">
        <v>47500</v>
      </c>
      <c r="H69" s="3164"/>
      <c r="J69" s="3163">
        <f>G69</f>
        <v>47500</v>
      </c>
      <c r="K69" s="3164"/>
      <c r="L69" s="815"/>
      <c r="M69" s="3163"/>
      <c r="N69" s="3164"/>
      <c r="P69" s="3163"/>
      <c r="Q69" s="3164"/>
      <c r="S69" s="3163"/>
      <c r="T69" s="3164"/>
      <c r="V69" s="840"/>
      <c r="W69" s="3235"/>
      <c r="X69" s="3236"/>
      <c r="AZ69" s="1655"/>
      <c r="BA69" s="1618">
        <v>69</v>
      </c>
    </row>
    <row r="70" spans="1:53" s="144" customFormat="1" ht="12" customHeight="1">
      <c r="B70" s="287" t="s">
        <v>1084</v>
      </c>
      <c r="D70" s="285"/>
      <c r="E70" s="285"/>
      <c r="F70" s="286"/>
      <c r="G70" s="3163"/>
      <c r="H70" s="3164"/>
      <c r="I70" s="145"/>
      <c r="J70" s="3163"/>
      <c r="K70" s="3164"/>
      <c r="L70" s="815"/>
      <c r="M70" s="3163"/>
      <c r="N70" s="3164"/>
      <c r="P70" s="3163"/>
      <c r="Q70" s="3164"/>
      <c r="S70" s="3163"/>
      <c r="T70" s="3164"/>
      <c r="V70" s="840"/>
      <c r="W70" s="3235"/>
      <c r="X70" s="3236"/>
      <c r="AZ70" s="1655"/>
      <c r="BA70" s="1618">
        <v>70</v>
      </c>
    </row>
    <row r="71" spans="1:53" s="144" customFormat="1" ht="12" customHeight="1">
      <c r="A71" s="303" t="str">
        <f>IF(AND(G71&gt;0,OR(C71="",C71="&lt;Enter detailed description here; use Comments section if needed&gt;")),"X","")</f>
        <v/>
      </c>
      <c r="B71" s="147" t="s">
        <v>4173</v>
      </c>
      <c r="C71" s="3360" t="s">
        <v>4613</v>
      </c>
      <c r="D71" s="3360"/>
      <c r="E71" s="3360"/>
      <c r="F71" s="3361"/>
      <c r="G71" s="3163"/>
      <c r="H71" s="3164"/>
      <c r="J71" s="3163"/>
      <c r="K71" s="3164"/>
      <c r="L71" s="815"/>
      <c r="M71" s="3163"/>
      <c r="N71" s="3164"/>
      <c r="P71" s="3163"/>
      <c r="Q71" s="3164"/>
      <c r="S71" s="3163"/>
      <c r="T71" s="3164"/>
      <c r="U71" s="302" t="str">
        <f>IF(AND(G71&gt;0,OR(C71="",C71="&lt;Enter detailed description here; use Comments section if needed&gt;")),"NO DESCRIPTION PROVIDED - please enter detailed description in Other box at left; use Comments section below if needed.","")</f>
        <v/>
      </c>
      <c r="V71" s="840"/>
      <c r="W71" s="3235"/>
      <c r="X71" s="3236"/>
      <c r="AZ71" s="1655"/>
      <c r="BA71" s="1618">
        <v>71</v>
      </c>
    </row>
    <row r="72" spans="1:53" s="144" customFormat="1" ht="12" customHeight="1" thickBot="1">
      <c r="A72" s="303" t="str">
        <f>IF(AND(G72&gt;0,OR(C72="",C72="&lt;Enter detailed description here; use Comments section if needed&gt;")),"X","")</f>
        <v/>
      </c>
      <c r="B72" s="147" t="s">
        <v>4174</v>
      </c>
      <c r="C72" s="3358" t="s">
        <v>4613</v>
      </c>
      <c r="D72" s="3358"/>
      <c r="E72" s="3358"/>
      <c r="F72" s="3359"/>
      <c r="G72" s="3155"/>
      <c r="H72" s="3156"/>
      <c r="J72" s="3155"/>
      <c r="K72" s="3156"/>
      <c r="L72" s="815"/>
      <c r="M72" s="3155"/>
      <c r="N72" s="3156"/>
      <c r="P72" s="3155"/>
      <c r="Q72" s="3156"/>
      <c r="S72" s="3155"/>
      <c r="T72" s="3156"/>
      <c r="U72" s="302" t="str">
        <f>IF(AND(G72&gt;0,OR(C72="",C72="&lt;Enter detailed description here; use Comments section if needed&gt;")),"NO DESCRIPTION PROVIDED - please enter detailed description in Other box at left; use Comments section below if needed.","")</f>
        <v/>
      </c>
      <c r="V72" s="840"/>
      <c r="W72" s="3286"/>
      <c r="X72" s="3287"/>
      <c r="AZ72" s="1655"/>
      <c r="BA72" s="1618">
        <v>72</v>
      </c>
    </row>
    <row r="73" spans="1:53" s="144" customFormat="1" ht="12" customHeight="1" thickTop="1">
      <c r="F73" s="281" t="s">
        <v>184</v>
      </c>
      <c r="G73" s="3323">
        <f>SUM(G61:G72)</f>
        <v>1758784</v>
      </c>
      <c r="H73" s="3324"/>
      <c r="J73" s="3323">
        <f>SUM(J61:J72)</f>
        <v>1463709</v>
      </c>
      <c r="K73" s="3324"/>
      <c r="L73" s="283"/>
      <c r="M73" s="3323">
        <f>SUM(M61:M72)</f>
        <v>0</v>
      </c>
      <c r="N73" s="3324"/>
      <c r="P73" s="3323">
        <f>SUM(P61:P72)</f>
        <v>0</v>
      </c>
      <c r="Q73" s="3324"/>
      <c r="S73" s="3323">
        <f>SUM(S61:S72)</f>
        <v>295075</v>
      </c>
      <c r="T73" s="3324"/>
      <c r="V73" s="841">
        <f>SUM(V61:V72)</f>
        <v>0</v>
      </c>
      <c r="W73" s="3307"/>
      <c r="X73" s="3308"/>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3">
        <v>400000</v>
      </c>
      <c r="H75" s="3184"/>
      <c r="J75" s="3183">
        <f t="shared" ref="J75:J85" si="1">G75</f>
        <v>400000</v>
      </c>
      <c r="K75" s="3184"/>
      <c r="L75" s="815"/>
      <c r="M75" s="3183"/>
      <c r="N75" s="3184"/>
      <c r="P75" s="3183"/>
      <c r="Q75" s="3184"/>
      <c r="S75" s="3183"/>
      <c r="T75" s="3184"/>
      <c r="V75" s="836"/>
      <c r="W75" s="3235"/>
      <c r="X75" s="3236"/>
      <c r="AZ75" s="1655"/>
      <c r="BA75" s="1618">
        <v>75</v>
      </c>
    </row>
    <row r="76" spans="1:53" s="144" customFormat="1" ht="12" customHeight="1">
      <c r="B76" s="144" t="s">
        <v>450</v>
      </c>
      <c r="G76" s="3163">
        <v>50000</v>
      </c>
      <c r="H76" s="3164"/>
      <c r="J76" s="3163">
        <f t="shared" si="1"/>
        <v>50000</v>
      </c>
      <c r="K76" s="3164"/>
      <c r="L76" s="815"/>
      <c r="M76" s="3163"/>
      <c r="N76" s="3164"/>
      <c r="P76" s="3163"/>
      <c r="Q76" s="3164"/>
      <c r="S76" s="3163"/>
      <c r="T76" s="3164"/>
      <c r="V76" s="836"/>
      <c r="W76" s="3235"/>
      <c r="X76" s="3236"/>
      <c r="AZ76" s="1655"/>
      <c r="BA76" s="1618">
        <v>76</v>
      </c>
    </row>
    <row r="77" spans="1:53" s="144" customFormat="1" ht="12" customHeight="1">
      <c r="B77" s="144" t="s">
        <v>1060</v>
      </c>
      <c r="D77" s="247"/>
      <c r="E77" s="831"/>
      <c r="F77" s="392"/>
      <c r="G77" s="3163">
        <v>15000</v>
      </c>
      <c r="H77" s="3164"/>
      <c r="J77" s="3163">
        <f t="shared" si="1"/>
        <v>15000</v>
      </c>
      <c r="K77" s="3164"/>
      <c r="L77" s="815"/>
      <c r="M77" s="3163"/>
      <c r="N77" s="3164"/>
      <c r="P77" s="3163"/>
      <c r="Q77" s="3164"/>
      <c r="S77" s="3163"/>
      <c r="T77" s="3164"/>
      <c r="V77" s="836"/>
      <c r="W77" s="3235"/>
      <c r="X77" s="3236"/>
      <c r="AZ77" s="1655"/>
      <c r="BA77" s="1618">
        <v>77</v>
      </c>
    </row>
    <row r="78" spans="1:53" s="144" customFormat="1" ht="12" customHeight="1">
      <c r="B78" s="144" t="s">
        <v>1061</v>
      </c>
      <c r="G78" s="3163">
        <v>15000</v>
      </c>
      <c r="H78" s="3164"/>
      <c r="J78" s="3163">
        <f t="shared" si="1"/>
        <v>15000</v>
      </c>
      <c r="K78" s="3164"/>
      <c r="L78" s="815"/>
      <c r="M78" s="3163"/>
      <c r="N78" s="3164"/>
      <c r="P78" s="3163"/>
      <c r="Q78" s="3164"/>
      <c r="S78" s="3163"/>
      <c r="T78" s="3164"/>
      <c r="V78" s="836"/>
      <c r="W78" s="3235"/>
      <c r="X78" s="3236"/>
      <c r="AZ78" s="1655"/>
      <c r="BA78" s="1618">
        <v>78</v>
      </c>
    </row>
    <row r="79" spans="1:53" s="144" customFormat="1" ht="12" customHeight="1">
      <c r="B79" s="144" t="s">
        <v>1062</v>
      </c>
      <c r="G79" s="3163">
        <v>10000</v>
      </c>
      <c r="H79" s="3164"/>
      <c r="J79" s="3163">
        <f t="shared" si="1"/>
        <v>10000</v>
      </c>
      <c r="K79" s="3164"/>
      <c r="L79" s="815"/>
      <c r="M79" s="3163"/>
      <c r="N79" s="3164"/>
      <c r="P79" s="3163"/>
      <c r="Q79" s="3164"/>
      <c r="S79" s="3163"/>
      <c r="T79" s="3164"/>
      <c r="V79" s="836"/>
      <c r="W79" s="3235"/>
      <c r="X79" s="3236"/>
      <c r="AZ79" s="1655" t="s">
        <v>4275</v>
      </c>
      <c r="BA79" s="1618">
        <v>79</v>
      </c>
    </row>
    <row r="80" spans="1:53" s="144" customFormat="1" ht="12" customHeight="1">
      <c r="B80" s="144" t="s">
        <v>1063</v>
      </c>
      <c r="G80" s="3163">
        <v>10000</v>
      </c>
      <c r="H80" s="3164"/>
      <c r="J80" s="3163">
        <f t="shared" si="1"/>
        <v>10000</v>
      </c>
      <c r="K80" s="3164"/>
      <c r="L80" s="815"/>
      <c r="M80" s="3163"/>
      <c r="N80" s="3164"/>
      <c r="P80" s="3163"/>
      <c r="Q80" s="3164"/>
      <c r="S80" s="3163"/>
      <c r="T80" s="3164"/>
      <c r="V80" s="836"/>
      <c r="W80" s="3235"/>
      <c r="X80" s="3236"/>
      <c r="AZ80" s="1655" t="s">
        <v>4276</v>
      </c>
      <c r="BA80" s="1618">
        <v>80</v>
      </c>
    </row>
    <row r="81" spans="1:53" s="144" customFormat="1" ht="12" customHeight="1">
      <c r="B81" s="144" t="s">
        <v>451</v>
      </c>
      <c r="G81" s="3163">
        <v>130000</v>
      </c>
      <c r="H81" s="3164"/>
      <c r="J81" s="3163">
        <f t="shared" si="1"/>
        <v>130000</v>
      </c>
      <c r="K81" s="3164"/>
      <c r="L81" s="815"/>
      <c r="M81" s="3163"/>
      <c r="N81" s="3164"/>
      <c r="P81" s="3163"/>
      <c r="Q81" s="3164"/>
      <c r="S81" s="3163"/>
      <c r="T81" s="3164"/>
      <c r="V81" s="836"/>
      <c r="W81" s="3235"/>
      <c r="X81" s="3236"/>
      <c r="AZ81" s="1651"/>
      <c r="BA81" s="1618">
        <v>81</v>
      </c>
    </row>
    <row r="82" spans="1:53" s="144" customFormat="1" ht="12" customHeight="1">
      <c r="B82" s="144" t="s">
        <v>452</v>
      </c>
      <c r="G82" s="3163">
        <v>100000</v>
      </c>
      <c r="H82" s="3164"/>
      <c r="J82" s="3163">
        <f t="shared" si="1"/>
        <v>100000</v>
      </c>
      <c r="K82" s="3164"/>
      <c r="L82" s="815"/>
      <c r="M82" s="3163"/>
      <c r="N82" s="3164"/>
      <c r="P82" s="3163"/>
      <c r="Q82" s="3164"/>
      <c r="S82" s="3163"/>
      <c r="T82" s="3164"/>
      <c r="V82" s="836"/>
      <c r="W82" s="3235"/>
      <c r="X82" s="3236"/>
      <c r="AZ82" s="1655"/>
      <c r="BA82" s="1618">
        <v>82</v>
      </c>
    </row>
    <row r="83" spans="1:53" s="144" customFormat="1" ht="12" customHeight="1">
      <c r="B83" s="144" t="s">
        <v>1894</v>
      </c>
      <c r="G83" s="3163">
        <v>15000</v>
      </c>
      <c r="H83" s="3164"/>
      <c r="J83" s="3163">
        <f t="shared" si="1"/>
        <v>15000</v>
      </c>
      <c r="K83" s="3164"/>
      <c r="L83" s="815"/>
      <c r="M83" s="3163"/>
      <c r="N83" s="3164"/>
      <c r="P83" s="3163"/>
      <c r="Q83" s="3164"/>
      <c r="S83" s="3163"/>
      <c r="T83" s="3164"/>
      <c r="V83" s="836"/>
      <c r="W83" s="3235"/>
      <c r="X83" s="3236"/>
      <c r="AZ83" s="1655"/>
      <c r="BA83" s="1618">
        <v>83</v>
      </c>
    </row>
    <row r="84" spans="1:53" s="144" customFormat="1" ht="12" customHeight="1">
      <c r="B84" s="144" t="s">
        <v>1199</v>
      </c>
      <c r="G84" s="3163">
        <v>5000</v>
      </c>
      <c r="H84" s="3164"/>
      <c r="J84" s="3163">
        <f t="shared" si="1"/>
        <v>5000</v>
      </c>
      <c r="K84" s="3164"/>
      <c r="L84" s="815"/>
      <c r="M84" s="3163"/>
      <c r="N84" s="3164"/>
      <c r="P84" s="3163"/>
      <c r="Q84" s="3164"/>
      <c r="S84" s="3163"/>
      <c r="T84" s="3164"/>
      <c r="V84" s="836"/>
      <c r="W84" s="3235"/>
      <c r="X84" s="3236"/>
      <c r="AZ84" s="1655"/>
      <c r="BA84" s="1618">
        <v>84</v>
      </c>
    </row>
    <row r="85" spans="1:53" s="144" customFormat="1" ht="12" customHeight="1" thickBot="1">
      <c r="A85" s="303" t="str">
        <f>IF(AND(G85&gt;0,OR(C85="",C85="&lt;Enter detailed description here; use Comments section if needed&gt;")),"X","")</f>
        <v/>
      </c>
      <c r="B85" s="147" t="s">
        <v>4175</v>
      </c>
      <c r="C85" s="3325" t="s">
        <v>5185</v>
      </c>
      <c r="D85" s="3325"/>
      <c r="E85" s="3325"/>
      <c r="F85" s="3326"/>
      <c r="G85" s="3155">
        <v>7500</v>
      </c>
      <c r="H85" s="3156"/>
      <c r="J85" s="3155">
        <f t="shared" si="1"/>
        <v>7500</v>
      </c>
      <c r="K85" s="3156"/>
      <c r="L85" s="815"/>
      <c r="M85" s="3155"/>
      <c r="N85" s="3156"/>
      <c r="P85" s="3155"/>
      <c r="Q85" s="3156"/>
      <c r="S85" s="3155"/>
      <c r="T85" s="3156"/>
      <c r="U85" s="302" t="str">
        <f>IF(AND(G85&gt;0,OR(C85="",C85="&lt;Enter detailed description here; use Comments section if needed&gt;")),"NO DESCRIPTION PROVIDED - please enter detailed description in Other box at left; use Comments section below if needed.","")</f>
        <v/>
      </c>
      <c r="V85" s="836"/>
      <c r="W85" s="3286"/>
      <c r="X85" s="3287"/>
      <c r="AZ85" s="1655"/>
      <c r="BA85" s="1618">
        <v>85</v>
      </c>
    </row>
    <row r="86" spans="1:53" s="144" customFormat="1" ht="12" customHeight="1" thickTop="1">
      <c r="F86" s="281" t="s">
        <v>184</v>
      </c>
      <c r="G86" s="3323">
        <f>SUM(G75:G85)</f>
        <v>757500</v>
      </c>
      <c r="H86" s="3324"/>
      <c r="J86" s="3323">
        <f>SUM(J75:J85)</f>
        <v>757500</v>
      </c>
      <c r="K86" s="3324"/>
      <c r="L86" s="283"/>
      <c r="M86" s="3323">
        <f>SUM(M75:M85)</f>
        <v>0</v>
      </c>
      <c r="N86" s="3324"/>
      <c r="P86" s="3323">
        <f>SUM(P75:P85)</f>
        <v>0</v>
      </c>
      <c r="Q86" s="3324"/>
      <c r="S86" s="3323">
        <f>SUM(S75:S85)</f>
        <v>0</v>
      </c>
      <c r="T86" s="3324"/>
      <c r="V86" s="838">
        <f>SUM(V75:V85)</f>
        <v>0</v>
      </c>
      <c r="W86" s="3307"/>
      <c r="X86" s="3308"/>
      <c r="AZ86" s="1655" t="s">
        <v>4277</v>
      </c>
      <c r="BA86" s="1618">
        <v>86</v>
      </c>
    </row>
    <row r="87" spans="1:53" ht="12" customHeight="1">
      <c r="A87" s="144"/>
      <c r="B87" s="243" t="s">
        <v>1191</v>
      </c>
      <c r="C87" s="144"/>
      <c r="D87" s="678" t="s">
        <v>3145</v>
      </c>
      <c r="E87" s="750">
        <f>G92/'Part V-Revenues &amp; Expenses'!$P$67</f>
        <v>3516.72</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3">
        <v>26797</v>
      </c>
      <c r="H88" s="3184"/>
      <c r="J88" s="3183">
        <f>G88</f>
        <v>26797</v>
      </c>
      <c r="K88" s="3184"/>
      <c r="L88" s="815"/>
      <c r="M88" s="3183"/>
      <c r="N88" s="3184"/>
      <c r="P88" s="3183"/>
      <c r="Q88" s="3184"/>
      <c r="S88" s="3183"/>
      <c r="T88" s="3184"/>
      <c r="V88" s="836"/>
      <c r="W88" s="3235"/>
      <c r="X88" s="3236"/>
      <c r="AZ88" s="1655"/>
      <c r="BA88" s="1618">
        <v>88</v>
      </c>
    </row>
    <row r="89" spans="1:53" s="144" customFormat="1" ht="12" customHeight="1">
      <c r="B89" s="144" t="s">
        <v>1193</v>
      </c>
      <c r="G89" s="3163">
        <v>101389</v>
      </c>
      <c r="H89" s="3164"/>
      <c r="J89" s="3163">
        <f>G89</f>
        <v>101389</v>
      </c>
      <c r="K89" s="3164"/>
      <c r="L89" s="815"/>
      <c r="M89" s="3163"/>
      <c r="N89" s="3164"/>
      <c r="P89" s="3163"/>
      <c r="Q89" s="3164"/>
      <c r="S89" s="3163"/>
      <c r="T89" s="3164"/>
      <c r="V89" s="836"/>
      <c r="W89" s="3235"/>
      <c r="X89" s="3236"/>
      <c r="AZ89" s="1655"/>
      <c r="BA89" s="1618">
        <v>89</v>
      </c>
    </row>
    <row r="90" spans="1:53" s="144" customFormat="1" ht="12" customHeight="1">
      <c r="B90" s="144" t="s">
        <v>1194</v>
      </c>
      <c r="D90" s="289" t="s">
        <v>1322</v>
      </c>
      <c r="E90" s="850" t="s">
        <v>2645</v>
      </c>
      <c r="G90" s="3163">
        <v>11200</v>
      </c>
      <c r="H90" s="3164"/>
      <c r="I90" s="145"/>
      <c r="J90" s="3163">
        <f>G90</f>
        <v>11200</v>
      </c>
      <c r="K90" s="3164"/>
      <c r="L90" s="815"/>
      <c r="M90" s="3163"/>
      <c r="N90" s="3164"/>
      <c r="P90" s="3163"/>
      <c r="Q90" s="3164"/>
      <c r="S90" s="3163"/>
      <c r="T90" s="3164"/>
      <c r="V90" s="836"/>
      <c r="W90" s="3235"/>
      <c r="X90" s="3236"/>
      <c r="AZ90" s="1655"/>
      <c r="BA90" s="1618">
        <v>90</v>
      </c>
    </row>
    <row r="91" spans="1:53" s="144" customFormat="1" ht="12" customHeight="1" thickBot="1">
      <c r="B91" s="144" t="s">
        <v>1195</v>
      </c>
      <c r="D91" s="289" t="s">
        <v>1322</v>
      </c>
      <c r="E91" s="851" t="s">
        <v>2645</v>
      </c>
      <c r="G91" s="3155">
        <v>36450</v>
      </c>
      <c r="H91" s="3156"/>
      <c r="I91" s="145"/>
      <c r="J91" s="3155">
        <f>G91</f>
        <v>36450</v>
      </c>
      <c r="K91" s="3156"/>
      <c r="L91" s="815"/>
      <c r="M91" s="3155"/>
      <c r="N91" s="3156"/>
      <c r="P91" s="3155"/>
      <c r="Q91" s="3156"/>
      <c r="S91" s="3155"/>
      <c r="T91" s="3156"/>
      <c r="V91" s="836"/>
      <c r="W91" s="3286"/>
      <c r="X91" s="3287"/>
      <c r="AZ91" s="1655"/>
      <c r="BA91" s="1618">
        <v>91</v>
      </c>
    </row>
    <row r="92" spans="1:53" s="144" customFormat="1" ht="12" customHeight="1" thickTop="1">
      <c r="F92" s="281" t="s">
        <v>184</v>
      </c>
      <c r="G92" s="3323">
        <f>SUM(G88:G91)</f>
        <v>175836</v>
      </c>
      <c r="H92" s="3324"/>
      <c r="J92" s="3323">
        <f>SUM(J88:J91)</f>
        <v>175836</v>
      </c>
      <c r="K92" s="3324"/>
      <c r="L92" s="283"/>
      <c r="M92" s="3323">
        <f>SUM(M88:M91)</f>
        <v>0</v>
      </c>
      <c r="N92" s="3324"/>
      <c r="P92" s="3323">
        <f>SUM(P88:P91)</f>
        <v>0</v>
      </c>
      <c r="Q92" s="3324"/>
      <c r="S92" s="3323">
        <f>SUM(S88:S91)</f>
        <v>0</v>
      </c>
      <c r="T92" s="3324"/>
      <c r="V92" s="838">
        <f>SUM(V88:V91)</f>
        <v>0</v>
      </c>
      <c r="W92" s="3307"/>
      <c r="X92" s="3308"/>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2517</v>
      </c>
      <c r="J94" s="3314" t="s">
        <v>259</v>
      </c>
      <c r="K94" s="3315"/>
      <c r="L94" s="280"/>
      <c r="M94" s="3327" t="s">
        <v>459</v>
      </c>
      <c r="N94" s="3328"/>
      <c r="P94" s="3314" t="s">
        <v>260</v>
      </c>
      <c r="Q94" s="3315"/>
      <c r="S94" s="3314" t="s">
        <v>261</v>
      </c>
      <c r="T94" s="3315"/>
      <c r="V94" s="343" t="str">
        <f>B94</f>
        <v>DEVELOPMENT BUDGET  (cont'd)</v>
      </c>
      <c r="AZ94" s="1655"/>
      <c r="BA94" s="1618">
        <v>94</v>
      </c>
    </row>
    <row r="95" spans="1:53" s="144" customFormat="1" ht="18" customHeight="1" thickBot="1">
      <c r="G95" s="3331" t="s">
        <v>95</v>
      </c>
      <c r="H95" s="3332"/>
      <c r="J95" s="3316"/>
      <c r="K95" s="3317"/>
      <c r="L95" s="280"/>
      <c r="M95" s="3329"/>
      <c r="N95" s="3330"/>
      <c r="P95" s="3316"/>
      <c r="Q95" s="3317"/>
      <c r="S95" s="3316"/>
      <c r="T95" s="3317"/>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4278</v>
      </c>
      <c r="BA96" s="1618">
        <v>96</v>
      </c>
    </row>
    <row r="97" spans="1:53" s="144" customFormat="1" ht="12" customHeight="1">
      <c r="B97" s="144" t="s">
        <v>1196</v>
      </c>
      <c r="G97" s="3183">
        <v>32000</v>
      </c>
      <c r="H97" s="3184"/>
      <c r="J97" s="3357"/>
      <c r="K97" s="3357"/>
      <c r="L97" s="815"/>
      <c r="M97" s="3357"/>
      <c r="N97" s="3357"/>
      <c r="P97" s="3357"/>
      <c r="Q97" s="3357"/>
      <c r="S97" s="3183">
        <f>G97</f>
        <v>32000</v>
      </c>
      <c r="T97" s="3184"/>
      <c r="V97" s="836"/>
      <c r="W97" s="3235"/>
      <c r="X97" s="3236"/>
      <c r="AZ97" s="1655" t="s">
        <v>4279</v>
      </c>
      <c r="BA97" s="1618">
        <v>97</v>
      </c>
    </row>
    <row r="98" spans="1:53" s="144" customFormat="1" ht="12" customHeight="1">
      <c r="B98" s="144" t="s">
        <v>1197</v>
      </c>
      <c r="G98" s="3163">
        <v>10000</v>
      </c>
      <c r="H98" s="3164"/>
      <c r="J98" s="3357"/>
      <c r="K98" s="3357"/>
      <c r="L98" s="815"/>
      <c r="M98" s="3357"/>
      <c r="N98" s="3357"/>
      <c r="P98" s="3357"/>
      <c r="Q98" s="3357"/>
      <c r="S98" s="3163">
        <f>G98</f>
        <v>10000</v>
      </c>
      <c r="T98" s="3164"/>
      <c r="V98" s="836"/>
      <c r="W98" s="3235"/>
      <c r="X98" s="3236"/>
      <c r="AZ98" s="1655"/>
      <c r="BA98" s="1618">
        <v>98</v>
      </c>
    </row>
    <row r="99" spans="1:53" s="144" customFormat="1" ht="12" customHeight="1">
      <c r="B99" s="144" t="s">
        <v>1198</v>
      </c>
      <c r="G99" s="3163">
        <v>42500</v>
      </c>
      <c r="H99" s="3164"/>
      <c r="J99" s="3357"/>
      <c r="K99" s="3357"/>
      <c r="L99" s="815"/>
      <c r="M99" s="3357"/>
      <c r="N99" s="3357"/>
      <c r="P99" s="3357"/>
      <c r="Q99" s="3357"/>
      <c r="S99" s="3163">
        <f>G99</f>
        <v>42500</v>
      </c>
      <c r="T99" s="3164"/>
      <c r="V99" s="836"/>
      <c r="W99" s="3235"/>
      <c r="X99" s="3236"/>
      <c r="AZ99" s="1655"/>
      <c r="BA99" s="1618">
        <v>99</v>
      </c>
    </row>
    <row r="100" spans="1:53" s="144" customFormat="1" ht="12" customHeight="1">
      <c r="B100" s="144" t="s">
        <v>1200</v>
      </c>
      <c r="G100" s="3163"/>
      <c r="H100" s="3164"/>
      <c r="J100" s="3357"/>
      <c r="K100" s="3357"/>
      <c r="L100" s="815"/>
      <c r="M100" s="3357"/>
      <c r="N100" s="3357"/>
      <c r="P100" s="3357"/>
      <c r="Q100" s="3357"/>
      <c r="S100" s="3163"/>
      <c r="T100" s="3164"/>
      <c r="V100" s="836"/>
      <c r="W100" s="3235"/>
      <c r="X100" s="3236"/>
      <c r="AZ100" s="1655"/>
      <c r="BA100" s="1618">
        <v>100</v>
      </c>
    </row>
    <row r="101" spans="1:53" s="144" customFormat="1" ht="12" customHeight="1">
      <c r="B101" s="144" t="s">
        <v>2115</v>
      </c>
      <c r="G101" s="3163"/>
      <c r="H101" s="3164"/>
      <c r="J101" s="3357"/>
      <c r="K101" s="3357"/>
      <c r="L101" s="815"/>
      <c r="M101" s="3357"/>
      <c r="N101" s="3357"/>
      <c r="P101" s="3357"/>
      <c r="Q101" s="3357"/>
      <c r="S101" s="3163"/>
      <c r="T101" s="3164"/>
      <c r="V101" s="836"/>
      <c r="W101" s="3235"/>
      <c r="X101" s="3236"/>
      <c r="AZ101" s="1655"/>
      <c r="BA101" s="1618">
        <v>101</v>
      </c>
    </row>
    <row r="102" spans="1:53" s="144" customFormat="1" ht="12" customHeight="1" thickBot="1">
      <c r="A102" s="303" t="str">
        <f>IF(AND(G102&gt;0,OR(C102="",C102="&lt;Enter detailed description here; use Comments section if needed&gt;")),"X","")</f>
        <v/>
      </c>
      <c r="B102" s="147" t="s">
        <v>4176</v>
      </c>
      <c r="C102" s="3325" t="s">
        <v>4613</v>
      </c>
      <c r="D102" s="3325"/>
      <c r="E102" s="3325"/>
      <c r="F102" s="3326"/>
      <c r="G102" s="3155"/>
      <c r="H102" s="3156"/>
      <c r="J102" s="3357"/>
      <c r="K102" s="3357"/>
      <c r="L102" s="815"/>
      <c r="M102" s="3357"/>
      <c r="N102" s="3357"/>
      <c r="P102" s="3357"/>
      <c r="Q102" s="3357"/>
      <c r="S102" s="3155"/>
      <c r="T102" s="3156"/>
      <c r="U102" s="302" t="str">
        <f>IF(AND(G102&gt;0,OR(C102="",C102="&lt;Enter detailed description here; use Comments section if needed&gt;")),"NO DESCRIPTION PROVIDED - please enter detailed description in Other box at left; use Comments section below if needed.","")</f>
        <v/>
      </c>
      <c r="V102" s="836"/>
      <c r="W102" s="3286"/>
      <c r="X102" s="3287"/>
      <c r="AZ102" s="1655"/>
      <c r="BA102" s="1618">
        <v>102</v>
      </c>
    </row>
    <row r="103" spans="1:53" s="144" customFormat="1" ht="12" customHeight="1" thickTop="1">
      <c r="F103" s="281" t="s">
        <v>184</v>
      </c>
      <c r="G103" s="3323">
        <f>SUM(G97:G102)</f>
        <v>84500</v>
      </c>
      <c r="H103" s="3324"/>
      <c r="J103" s="3357"/>
      <c r="K103" s="3357"/>
      <c r="L103" s="283"/>
      <c r="M103" s="3357"/>
      <c r="N103" s="3357"/>
      <c r="P103" s="3357"/>
      <c r="Q103" s="3357"/>
      <c r="S103" s="3323">
        <f>SUM(S97:S102)</f>
        <v>84500</v>
      </c>
      <c r="T103" s="3324"/>
      <c r="V103" s="838">
        <f>SUM(V97:V102)</f>
        <v>0</v>
      </c>
      <c r="W103" s="3307"/>
      <c r="X103" s="3308"/>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3800</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5007</v>
      </c>
      <c r="G105" s="3183"/>
      <c r="H105" s="3184"/>
      <c r="J105" s="283"/>
      <c r="K105" s="283"/>
      <c r="L105" s="815"/>
      <c r="M105" s="283"/>
      <c r="N105" s="283"/>
      <c r="P105" s="283"/>
      <c r="Q105" s="283"/>
      <c r="S105" s="3183"/>
      <c r="T105" s="3184"/>
      <c r="V105" s="836"/>
      <c r="W105" s="3235"/>
      <c r="X105" s="3236"/>
      <c r="Y105" s="3367" t="s">
        <v>4595</v>
      </c>
      <c r="AA105" s="236" t="s">
        <v>4540</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3">
        <v>10000</v>
      </c>
      <c r="H106" s="3164"/>
      <c r="J106" s="283"/>
      <c r="K106" s="283"/>
      <c r="L106" s="290"/>
      <c r="M106" s="283"/>
      <c r="N106" s="283"/>
      <c r="P106" s="283"/>
      <c r="Q106" s="283"/>
      <c r="S106" s="3163">
        <f>G106</f>
        <v>10000</v>
      </c>
      <c r="T106" s="3164"/>
      <c r="V106" s="836"/>
      <c r="W106" s="3235"/>
      <c r="X106" s="3236"/>
      <c r="Y106" s="3367"/>
      <c r="AA106" s="1841" t="s">
        <v>3068</v>
      </c>
      <c r="AB106" s="1841"/>
      <c r="AC106" s="1841"/>
      <c r="AD106" s="1842">
        <f>'Part V-Revenues &amp; Expenses'!$P$67</f>
        <v>50</v>
      </c>
      <c r="AZ106" s="1655" t="s">
        <v>4280</v>
      </c>
      <c r="BA106" s="1618">
        <v>106</v>
      </c>
    </row>
    <row r="107" spans="1:53" s="144" customFormat="1" ht="12.6" customHeight="1">
      <c r="B107" s="144" t="s">
        <v>5008</v>
      </c>
      <c r="G107" s="3163"/>
      <c r="H107" s="3164"/>
      <c r="J107" s="283"/>
      <c r="K107" s="283"/>
      <c r="L107" s="290"/>
      <c r="M107" s="283"/>
      <c r="N107" s="283"/>
      <c r="P107" s="283"/>
      <c r="Q107" s="283"/>
      <c r="S107" s="3163"/>
      <c r="T107" s="3164"/>
      <c r="V107" s="836"/>
      <c r="W107" s="3235"/>
      <c r="X107" s="3236"/>
      <c r="Y107" s="3367"/>
      <c r="Z107" s="301"/>
      <c r="AA107" s="225" t="s">
        <v>4600</v>
      </c>
      <c r="AB107" s="147"/>
      <c r="AC107" s="147"/>
      <c r="AD107" s="147"/>
      <c r="AF107" s="1846" t="s">
        <v>4601</v>
      </c>
      <c r="AZ107" s="1655" t="s">
        <v>4281</v>
      </c>
      <c r="BA107" s="1618">
        <v>107</v>
      </c>
    </row>
    <row r="108" spans="1:53" s="144" customFormat="1" ht="12.6" customHeight="1">
      <c r="B108" s="144" t="s">
        <v>485</v>
      </c>
      <c r="E108" s="3362">
        <f>ROUNDUP('DCA Underwriting Assumptions'!$Q$70*J191,0)</f>
        <v>108000</v>
      </c>
      <c r="F108" s="3363"/>
      <c r="G108" s="3163">
        <v>108000</v>
      </c>
      <c r="H108" s="3164"/>
      <c r="J108" s="751" t="str">
        <f>IF(E108&gt;G108,"WARNING!  LIHTC Allocation Fee proposed is below minimum required.","")</f>
        <v/>
      </c>
      <c r="K108" s="283"/>
      <c r="L108" s="815"/>
      <c r="M108" s="283"/>
      <c r="N108" s="283"/>
      <c r="P108" s="283"/>
      <c r="Q108" s="283"/>
      <c r="S108" s="3163">
        <f>G108</f>
        <v>108000</v>
      </c>
      <c r="T108" s="3164"/>
      <c r="V108" s="836"/>
      <c r="W108" s="3235"/>
      <c r="X108" s="3236"/>
      <c r="Y108" s="3367"/>
      <c r="Z108" s="301"/>
      <c r="AA108" s="147" t="s">
        <v>4596</v>
      </c>
      <c r="AB108" s="147"/>
      <c r="AC108" s="147"/>
      <c r="AD108" s="234">
        <f>'Part V-Revenues &amp; Expenses'!P140+'Part V-Revenues &amp; Expenses'!P141</f>
        <v>0</v>
      </c>
      <c r="AF108" s="1844">
        <f>AD108*'DCA Underwriting Assumptions'!$Q$77</f>
        <v>0</v>
      </c>
      <c r="AZ108" s="1655" t="s">
        <v>4282</v>
      </c>
      <c r="BA108" s="1618">
        <v>108</v>
      </c>
    </row>
    <row r="109" spans="1:53" s="144" customFormat="1" ht="12.6" customHeight="1">
      <c r="B109" s="144" t="s">
        <v>701</v>
      </c>
      <c r="E109" s="3362">
        <f>AF111+AF115</f>
        <v>50000</v>
      </c>
      <c r="F109" s="3363"/>
      <c r="G109" s="3163">
        <v>50000</v>
      </c>
      <c r="H109" s="3164"/>
      <c r="I109" s="3364" t="str">
        <f>IF(E109&gt;G109,"WARNING!  LIHTC Compliance Fee proposed is below minimum required.","")</f>
        <v/>
      </c>
      <c r="J109" s="3365"/>
      <c r="K109" s="3365"/>
      <c r="L109" s="3365"/>
      <c r="M109" s="3365"/>
      <c r="N109" s="3365"/>
      <c r="O109" s="3365"/>
      <c r="P109" s="3365"/>
      <c r="Q109" s="3365"/>
      <c r="R109" s="3366"/>
      <c r="S109" s="3163">
        <f>G109</f>
        <v>50000</v>
      </c>
      <c r="T109" s="3164"/>
      <c r="V109" s="836"/>
      <c r="W109" s="3235"/>
      <c r="X109" s="3236"/>
      <c r="Y109" s="3367"/>
      <c r="Z109" s="301"/>
      <c r="AA109" s="147" t="s">
        <v>4184</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3362</v>
      </c>
      <c r="F110" s="956"/>
      <c r="G110" s="3163"/>
      <c r="H110" s="3164"/>
      <c r="I110" s="3364"/>
      <c r="J110" s="3365"/>
      <c r="K110" s="3365"/>
      <c r="L110" s="3365"/>
      <c r="M110" s="3365"/>
      <c r="N110" s="3365"/>
      <c r="O110" s="3365"/>
      <c r="P110" s="3365"/>
      <c r="Q110" s="3365"/>
      <c r="R110" s="3366"/>
      <c r="S110" s="3163"/>
      <c r="T110" s="3164"/>
      <c r="V110" s="836"/>
      <c r="W110" s="3235"/>
      <c r="X110" s="3236"/>
      <c r="Y110" s="3367"/>
      <c r="AA110" s="147" t="s">
        <v>4597</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4737</v>
      </c>
      <c r="F111" s="956">
        <f>ROUNDUP('DCA Underwriting Assumptions'!$Q$73,0)</f>
        <v>8000</v>
      </c>
      <c r="G111" s="3163">
        <v>8000</v>
      </c>
      <c r="H111" s="3164"/>
      <c r="J111" s="145"/>
      <c r="K111" s="145"/>
      <c r="L111" s="145"/>
      <c r="M111" s="145"/>
      <c r="N111" s="145"/>
      <c r="O111" s="145"/>
      <c r="P111" s="145"/>
      <c r="Q111" s="145"/>
      <c r="S111" s="3163">
        <f>G111</f>
        <v>8000</v>
      </c>
      <c r="T111" s="3164"/>
      <c r="V111" s="836"/>
      <c r="W111" s="3235"/>
      <c r="X111" s="3236"/>
      <c r="AA111" s="147"/>
      <c r="AB111" s="1460" t="s">
        <v>4598</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4172</v>
      </c>
      <c r="C112" s="3360" t="s">
        <v>4613</v>
      </c>
      <c r="D112" s="3360"/>
      <c r="E112" s="3360"/>
      <c r="F112" s="3361"/>
      <c r="G112" s="3163"/>
      <c r="H112" s="3164"/>
      <c r="J112" s="145"/>
      <c r="K112" s="145"/>
      <c r="L112" s="145"/>
      <c r="M112" s="145"/>
      <c r="N112" s="145"/>
      <c r="O112" s="145"/>
      <c r="P112" s="145"/>
      <c r="Q112" s="145"/>
      <c r="S112" s="3163"/>
      <c r="T112" s="3164"/>
      <c r="U112" s="302" t="str">
        <f>IF(AND(G112&gt;0,OR(C112="",C112="&lt;Enter detailed description here; use Comments section if needed&gt;")),"NO DESCRIPTION PROVIDED - please enter detailed description in Other box at left; use Comments section below if needed.","")</f>
        <v/>
      </c>
      <c r="V112" s="836"/>
      <c r="W112" s="3235"/>
      <c r="X112" s="3236"/>
      <c r="AA112" s="225" t="s">
        <v>4599</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4172</v>
      </c>
      <c r="C113" s="3358" t="s">
        <v>4613</v>
      </c>
      <c r="D113" s="3358"/>
      <c r="E113" s="3358"/>
      <c r="F113" s="3359"/>
      <c r="G113" s="3155"/>
      <c r="H113" s="3156"/>
      <c r="J113" s="145"/>
      <c r="K113" s="145"/>
      <c r="L113" s="145"/>
      <c r="M113" s="145"/>
      <c r="N113" s="145"/>
      <c r="O113" s="145"/>
      <c r="P113" s="145"/>
      <c r="Q113" s="145"/>
      <c r="S113" s="3155"/>
      <c r="T113" s="3156"/>
      <c r="U113" s="302" t="str">
        <f>IF(AND(G113&gt;0,OR(C113="",C113="&lt;Enter detailed description here; use Comments section if needed&gt;")),"NO DESCRIPTION PROVIDED - please enter detailed description in Other box at left; use Comments section below if needed.","")</f>
        <v/>
      </c>
      <c r="V113" s="836"/>
      <c r="W113" s="3286"/>
      <c r="X113" s="3287"/>
      <c r="AA113" s="147" t="s">
        <v>36</v>
      </c>
      <c r="AB113" s="147"/>
      <c r="AC113" s="231"/>
      <c r="AD113" s="234">
        <f>'Part V-Revenues &amp; Expenses'!$P$131</f>
        <v>50</v>
      </c>
      <c r="AF113" s="1844">
        <f>IF($AD$105="Income Averaging",AD113*'DCA Underwriting Assumptions'!$Q$75,AD113*'DCA Underwriting Assumptions'!$Q$74)</f>
        <v>50000</v>
      </c>
      <c r="AZ113" s="1655" t="s">
        <v>4283</v>
      </c>
      <c r="BA113" s="1618">
        <v>113</v>
      </c>
    </row>
    <row r="114" spans="1:53" s="144" customFormat="1" ht="12.6" customHeight="1" thickTop="1">
      <c r="F114" s="281" t="s">
        <v>184</v>
      </c>
      <c r="G114" s="3323">
        <f>SUM(G105:G113)</f>
        <v>176000</v>
      </c>
      <c r="H114" s="3324"/>
      <c r="J114" s="283"/>
      <c r="K114" s="283"/>
      <c r="L114" s="815"/>
      <c r="M114" s="283"/>
      <c r="N114" s="283"/>
      <c r="P114" s="283"/>
      <c r="Q114" s="283"/>
      <c r="S114" s="3323">
        <f>SUM(S105:S113)</f>
        <v>176000</v>
      </c>
      <c r="T114" s="3324"/>
      <c r="V114" s="838">
        <f>SUM(V105:V113)</f>
        <v>0</v>
      </c>
      <c r="W114" s="3275"/>
      <c r="X114" s="3276"/>
      <c r="AA114" s="147" t="s">
        <v>4378</v>
      </c>
      <c r="AB114" s="147"/>
      <c r="AC114" s="241"/>
      <c r="AD114" s="234">
        <f>'Part V-Revenues &amp; Expenses'!$P$142+'Part V-Revenues &amp; Expenses'!$P$143</f>
        <v>0</v>
      </c>
      <c r="AF114" s="1844">
        <f>IF($AD$105="Income Averaging",AD114*'DCA Underwriting Assumptions'!$Q$75,AD114*'DCA Underwriting Assumptions'!$Q$74)</f>
        <v>0</v>
      </c>
      <c r="AZ114" s="1655" t="s">
        <v>4284</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4598</v>
      </c>
      <c r="AC115" s="147"/>
      <c r="AD115" s="1843">
        <f>SUM(AD113:AD114)</f>
        <v>50</v>
      </c>
      <c r="AF115" s="1845">
        <f>SUM(AF113:AF114)</f>
        <v>50000</v>
      </c>
      <c r="AZ115" s="1631"/>
      <c r="BA115" s="1618">
        <v>115</v>
      </c>
    </row>
    <row r="116" spans="1:53" s="144" customFormat="1" ht="12.6" customHeight="1">
      <c r="B116" s="144" t="s">
        <v>267</v>
      </c>
      <c r="G116" s="3183">
        <v>5000</v>
      </c>
      <c r="H116" s="3184"/>
      <c r="J116" s="3357"/>
      <c r="K116" s="3357"/>
      <c r="L116" s="815"/>
      <c r="M116" s="3357"/>
      <c r="N116" s="3357"/>
      <c r="P116" s="3357"/>
      <c r="Q116" s="3357"/>
      <c r="S116" s="3183">
        <f>G116</f>
        <v>5000</v>
      </c>
      <c r="T116" s="3184"/>
      <c r="V116" s="836"/>
      <c r="W116" s="3235"/>
      <c r="X116" s="3236"/>
      <c r="AZ116" s="1631"/>
      <c r="BA116" s="1618">
        <v>116</v>
      </c>
    </row>
    <row r="117" spans="1:53" s="144" customFormat="1" ht="12.6" customHeight="1">
      <c r="B117" s="144" t="s">
        <v>268</v>
      </c>
      <c r="G117" s="3163"/>
      <c r="H117" s="3164"/>
      <c r="J117" s="3357"/>
      <c r="K117" s="3357"/>
      <c r="L117" s="815"/>
      <c r="M117" s="3357"/>
      <c r="N117" s="3357"/>
      <c r="P117" s="3357"/>
      <c r="Q117" s="3357"/>
      <c r="S117" s="3163"/>
      <c r="T117" s="3164"/>
      <c r="V117" s="836"/>
      <c r="W117" s="3235"/>
      <c r="X117" s="3236"/>
      <c r="AZ117" s="1631"/>
      <c r="BA117" s="1618">
        <v>117</v>
      </c>
    </row>
    <row r="118" spans="1:53" s="144" customFormat="1" ht="12.6" customHeight="1">
      <c r="B118" s="144" t="s">
        <v>2194</v>
      </c>
      <c r="G118" s="3163">
        <v>55000</v>
      </c>
      <c r="H118" s="3164"/>
      <c r="J118" s="3357"/>
      <c r="K118" s="3357"/>
      <c r="L118" s="815"/>
      <c r="M118" s="3357"/>
      <c r="N118" s="3357"/>
      <c r="P118" s="3357"/>
      <c r="Q118" s="3357"/>
      <c r="S118" s="3163">
        <f>G118</f>
        <v>55000</v>
      </c>
      <c r="T118" s="3164"/>
      <c r="V118" s="836"/>
      <c r="W118" s="3235"/>
      <c r="X118" s="3236"/>
      <c r="AZ118" s="1631"/>
      <c r="BA118" s="1618">
        <v>118</v>
      </c>
    </row>
    <row r="119" spans="1:53" s="144" customFormat="1" ht="12.6" customHeight="1" thickBot="1">
      <c r="A119" s="303" t="str">
        <f>IF(AND(G119&gt;0,OR(C119="",C119="&lt;Enter detailed description here; use Comments section if needed&gt;")),"X","")</f>
        <v/>
      </c>
      <c r="B119" s="147" t="s">
        <v>4172</v>
      </c>
      <c r="C119" s="3325" t="s">
        <v>4613</v>
      </c>
      <c r="D119" s="3325"/>
      <c r="E119" s="3325"/>
      <c r="F119" s="3326"/>
      <c r="G119" s="3155"/>
      <c r="H119" s="3156"/>
      <c r="J119" s="3357"/>
      <c r="K119" s="3357"/>
      <c r="L119" s="815"/>
      <c r="M119" s="3357"/>
      <c r="N119" s="3357"/>
      <c r="P119" s="3357"/>
      <c r="Q119" s="3357"/>
      <c r="S119" s="3155"/>
      <c r="T119" s="3156"/>
      <c r="U119" s="302" t="str">
        <f>IF(AND(G119&gt;0,OR(C119="",C119="&lt;Enter detailed description here; use Comments section if needed&gt;")),"NO DESCRIPTION PROVIDED - please enter detailed description in Other box at left; use Comments section below if needed.","")</f>
        <v/>
      </c>
      <c r="V119" s="836"/>
      <c r="W119" s="3286"/>
      <c r="X119" s="3287"/>
      <c r="AZ119" s="1631"/>
      <c r="BA119" s="1618">
        <v>119</v>
      </c>
    </row>
    <row r="120" spans="1:53" s="144" customFormat="1" ht="12.6" customHeight="1" thickTop="1">
      <c r="F120" s="281" t="s">
        <v>184</v>
      </c>
      <c r="G120" s="3323">
        <f>SUM(G116:G119)</f>
        <v>60000</v>
      </c>
      <c r="H120" s="3324"/>
      <c r="J120" s="3357"/>
      <c r="K120" s="3357"/>
      <c r="L120" s="815"/>
      <c r="M120" s="3357"/>
      <c r="N120" s="3357"/>
      <c r="P120" s="3357"/>
      <c r="Q120" s="3357"/>
      <c r="S120" s="3323">
        <f>SUM(S116:S119)</f>
        <v>60000</v>
      </c>
      <c r="T120" s="3324"/>
      <c r="V120" s="838">
        <f>SUM(V116:V119)</f>
        <v>0</v>
      </c>
      <c r="W120" s="3307"/>
      <c r="X120" s="3308"/>
      <c r="AC120" s="3351" t="s">
        <v>3797</v>
      </c>
      <c r="AD120" s="3351" t="s">
        <v>3798</v>
      </c>
      <c r="AE120" s="3353" t="s">
        <v>3801</v>
      </c>
      <c r="AF120" s="3354" t="s">
        <v>3799</v>
      </c>
      <c r="AG120" s="3353" t="s">
        <v>3790</v>
      </c>
      <c r="AH120" s="3356" t="s">
        <v>4633</v>
      </c>
      <c r="AI120" s="3356"/>
      <c r="AZ120" s="1631"/>
      <c r="BA120" s="1618">
        <v>120</v>
      </c>
    </row>
    <row r="121" spans="1:53" s="144" customFormat="1" ht="13.35" customHeight="1">
      <c r="B121" s="243" t="s">
        <v>269</v>
      </c>
      <c r="E121" s="484" t="s">
        <v>3800</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3788</v>
      </c>
      <c r="Z121" s="236"/>
      <c r="AA121" s="231" t="s">
        <v>3794</v>
      </c>
      <c r="AB121" s="231" t="s">
        <v>3795</v>
      </c>
      <c r="AC121" s="3352"/>
      <c r="AD121" s="3352"/>
      <c r="AE121" s="3068"/>
      <c r="AF121" s="3355"/>
      <c r="AG121" s="3353"/>
      <c r="AH121" s="3356"/>
      <c r="AI121" s="3356"/>
      <c r="AK121" s="44"/>
      <c r="AZ121" s="1631" t="s">
        <v>4285</v>
      </c>
      <c r="BA121" s="1618">
        <v>121</v>
      </c>
    </row>
    <row r="122" spans="1:53" s="144" customFormat="1" ht="12.6" customHeight="1">
      <c r="B122" s="144" t="s">
        <v>1719</v>
      </c>
      <c r="F122" s="322">
        <f>IF($G$127=0,0,G122/$G$127)</f>
        <v>0.5</v>
      </c>
      <c r="G122" s="3348">
        <v>687500</v>
      </c>
      <c r="H122" s="3348"/>
      <c r="J122" s="3349">
        <f>G122</f>
        <v>687500</v>
      </c>
      <c r="K122" s="3350"/>
      <c r="L122" s="282"/>
      <c r="M122" s="3349"/>
      <c r="N122" s="3350"/>
      <c r="P122" s="3349"/>
      <c r="Q122" s="3350"/>
      <c r="S122" s="3349"/>
      <c r="T122" s="3350"/>
      <c r="V122" s="836"/>
      <c r="W122" s="3235"/>
      <c r="X122" s="3236"/>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6">
        <f>SUM(AE122:AE124)</f>
        <v>1375000</v>
      </c>
      <c r="AG122" s="3345">
        <f>'DCA Underwriting Assumptions'!$Q$89</f>
        <v>2285000</v>
      </c>
      <c r="AH122" s="3339">
        <f>MIN(AF122,AG122)</f>
        <v>1375000</v>
      </c>
      <c r="AI122" s="3340"/>
      <c r="AZ122" s="1631"/>
      <c r="BA122" s="1618">
        <v>122</v>
      </c>
    </row>
    <row r="123" spans="1:53" s="144" customFormat="1" ht="12.6" customHeight="1">
      <c r="B123" s="144" t="s">
        <v>3324</v>
      </c>
      <c r="F123" s="936">
        <v>650000</v>
      </c>
      <c r="G123" s="241" t="s">
        <v>4614</v>
      </c>
      <c r="V123" s="836"/>
      <c r="W123" s="3235"/>
      <c r="X123" s="3236"/>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7"/>
      <c r="AG123" s="3346"/>
      <c r="AH123" s="3341"/>
      <c r="AI123" s="3342"/>
      <c r="AZ123" s="1631"/>
      <c r="BA123" s="1618">
        <v>123</v>
      </c>
    </row>
    <row r="124" spans="1:53" s="144" customFormat="1" ht="12.6" customHeight="1">
      <c r="B124" s="144" t="s">
        <v>1720</v>
      </c>
      <c r="F124" s="322">
        <f>IF($G$127=0,0,G124/$G$127)</f>
        <v>0</v>
      </c>
      <c r="G124" s="3183"/>
      <c r="H124" s="3184"/>
      <c r="J124" s="3183"/>
      <c r="K124" s="3184"/>
      <c r="L124" s="815"/>
      <c r="M124" s="3183"/>
      <c r="N124" s="3184"/>
      <c r="P124" s="3183"/>
      <c r="Q124" s="3184"/>
      <c r="S124" s="3183"/>
      <c r="T124" s="3184"/>
      <c r="V124" s="836"/>
      <c r="W124" s="3235"/>
      <c r="X124" s="3236"/>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38"/>
      <c r="AG124" s="3347"/>
      <c r="AH124" s="3343"/>
      <c r="AI124" s="3344"/>
      <c r="AZ124" s="1631"/>
      <c r="BA124" s="1618">
        <v>124</v>
      </c>
    </row>
    <row r="125" spans="1:53" s="144" customFormat="1" ht="12.6" customHeight="1">
      <c r="B125" s="144" t="s">
        <v>3080</v>
      </c>
      <c r="F125" s="322">
        <f>IF($G$127=0,0,G125/$G$127)</f>
        <v>0</v>
      </c>
      <c r="G125" s="3163"/>
      <c r="H125" s="3164"/>
      <c r="J125" s="3163"/>
      <c r="K125" s="3164"/>
      <c r="L125" s="815"/>
      <c r="M125" s="3163"/>
      <c r="N125" s="3164"/>
      <c r="P125" s="3163"/>
      <c r="Q125" s="3164"/>
      <c r="S125" s="3163"/>
      <c r="T125" s="3164"/>
      <c r="V125" s="836"/>
      <c r="W125" s="3235"/>
      <c r="X125" s="3236"/>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6">
        <f>SUM(AE125:AE127)</f>
        <v>1375000</v>
      </c>
      <c r="AG125" s="3336">
        <f>'DCA Underwriting Assumptions'!$Q$90</f>
        <v>4000000</v>
      </c>
      <c r="AH125" s="3339">
        <f>MIN(AF125,AG125)</f>
        <v>1375000</v>
      </c>
      <c r="AI125" s="3340"/>
      <c r="AZ125" s="1631"/>
      <c r="BA125" s="1618">
        <v>125</v>
      </c>
    </row>
    <row r="126" spans="1:53" s="144" customFormat="1" ht="12.6" customHeight="1" thickBot="1">
      <c r="B126" s="144" t="s">
        <v>1712</v>
      </c>
      <c r="F126" s="322">
        <f>IF($G$127=0,0,G126/$G$127)</f>
        <v>0.5</v>
      </c>
      <c r="G126" s="3155">
        <v>687500</v>
      </c>
      <c r="H126" s="3156"/>
      <c r="J126" s="3155">
        <f>G126</f>
        <v>687500</v>
      </c>
      <c r="K126" s="3156"/>
      <c r="L126" s="815"/>
      <c r="M126" s="3155"/>
      <c r="N126" s="3156"/>
      <c r="P126" s="3155"/>
      <c r="Q126" s="3156"/>
      <c r="S126" s="3155"/>
      <c r="T126" s="3156"/>
      <c r="V126" s="836"/>
      <c r="W126" s="3286"/>
      <c r="X126" s="328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7"/>
      <c r="AG126" s="3337"/>
      <c r="AH126" s="3341"/>
      <c r="AI126" s="3342"/>
      <c r="AZ126" s="1655"/>
      <c r="BA126" s="1618">
        <v>126</v>
      </c>
    </row>
    <row r="127" spans="1:53" s="144" customFormat="1" ht="12.6" customHeight="1" thickTop="1">
      <c r="A127" s="1247" t="str">
        <f>IF(G127&gt;E127,"DF over limit!  Round down/Enter nbr.","")</f>
        <v/>
      </c>
      <c r="B127" s="1863"/>
      <c r="D127" s="484" t="s">
        <v>3796</v>
      </c>
      <c r="E127" s="1864">
        <f>IF(AF122+AF125=0,"Fill in Rent Chart!",IF(F121="9%",AH122,IF(F121="4%",AH125,"Select App Type!")))</f>
        <v>1375000</v>
      </c>
      <c r="F127" s="281" t="s">
        <v>184</v>
      </c>
      <c r="G127" s="3323">
        <f>SUM(G122:G126)</f>
        <v>1375000</v>
      </c>
      <c r="H127" s="3335"/>
      <c r="J127" s="3323">
        <f>SUM(J122:J126)</f>
        <v>1375000</v>
      </c>
      <c r="K127" s="3335"/>
      <c r="L127" s="815"/>
      <c r="M127" s="3323">
        <f>SUM(M122:M126)</f>
        <v>0</v>
      </c>
      <c r="N127" s="3335"/>
      <c r="P127" s="3323">
        <f>SUM(P122:P126)</f>
        <v>0</v>
      </c>
      <c r="Q127" s="3335"/>
      <c r="S127" s="3323">
        <f>SUM(S122:S126)</f>
        <v>0</v>
      </c>
      <c r="T127" s="3335"/>
      <c r="V127" s="838">
        <f>SUM(V122:V126)</f>
        <v>0</v>
      </c>
      <c r="W127" s="3307"/>
      <c r="X127" s="3308"/>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38"/>
      <c r="AG127" s="3338"/>
      <c r="AH127" s="3343"/>
      <c r="AI127" s="3344"/>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4286</v>
      </c>
      <c r="BA128" s="1618">
        <v>128</v>
      </c>
    </row>
    <row r="129" spans="1:53" s="144" customFormat="1" ht="12.6" customHeight="1">
      <c r="B129" s="144" t="s">
        <v>241</v>
      </c>
      <c r="G129" s="3183">
        <v>136814</v>
      </c>
      <c r="H129" s="3184"/>
      <c r="J129" s="291"/>
      <c r="K129" s="291"/>
      <c r="L129" s="291"/>
      <c r="M129" s="291"/>
      <c r="N129" s="291"/>
      <c r="P129" s="291"/>
      <c r="Q129" s="291"/>
      <c r="S129" s="3183">
        <f>G129</f>
        <v>136814</v>
      </c>
      <c r="T129" s="3184"/>
      <c r="V129" s="836"/>
      <c r="W129" s="3235"/>
      <c r="X129" s="3236"/>
      <c r="Z129" s="1243"/>
      <c r="AB129" s="44"/>
      <c r="AC129"/>
      <c r="AD129"/>
      <c r="AF129"/>
      <c r="AG129"/>
      <c r="AH129"/>
      <c r="AI129"/>
      <c r="AJ129"/>
      <c r="AK129"/>
      <c r="AZ129" s="1655" t="s">
        <v>4287</v>
      </c>
      <c r="BA129" s="1618">
        <v>129</v>
      </c>
    </row>
    <row r="130" spans="1:53" s="144" customFormat="1" ht="12.6" customHeight="1">
      <c r="B130" s="144" t="s">
        <v>1434</v>
      </c>
      <c r="F130" s="364">
        <f>+'Part V-Revenues &amp; Expenses'!$Q$232*('DCA Underwriting Assumptions'!$Q$104/12)</f>
        <v>77036.75</v>
      </c>
      <c r="G130" s="3163">
        <v>79037</v>
      </c>
      <c r="H130" s="3164"/>
      <c r="J130" s="752" t="str">
        <f>IF(E130&gt;G130,"WARNING! Rent-Up Reserves proposed is below minimum - add comment.","")</f>
        <v/>
      </c>
      <c r="K130" s="752"/>
      <c r="L130" s="815"/>
      <c r="M130" s="737"/>
      <c r="N130" s="737"/>
      <c r="P130" s="737"/>
      <c r="Q130" s="737"/>
      <c r="S130" s="3163">
        <f>G130</f>
        <v>79037</v>
      </c>
      <c r="T130" s="3164"/>
      <c r="V130" s="836"/>
      <c r="W130" s="3235"/>
      <c r="X130" s="3236"/>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249308.26608933415</v>
      </c>
      <c r="G131" s="3163">
        <v>254890</v>
      </c>
      <c r="H131" s="3164"/>
      <c r="J131" s="752" t="str">
        <f>IF(E131&gt;G131,"WARNING! ODR proposed is below minimum - add comment.","")</f>
        <v/>
      </c>
      <c r="K131" s="290"/>
      <c r="L131" s="290"/>
      <c r="M131" s="290"/>
      <c r="N131" s="290"/>
      <c r="P131" s="290"/>
      <c r="Q131" s="290"/>
      <c r="S131" s="3163">
        <f>G131</f>
        <v>254890</v>
      </c>
      <c r="T131" s="3164"/>
      <c r="V131" s="836"/>
      <c r="W131" s="3235"/>
      <c r="X131" s="3236"/>
      <c r="Y131"/>
      <c r="Z131" s="1244"/>
      <c r="AB131" s="236"/>
      <c r="AD131"/>
      <c r="AG131"/>
      <c r="AH131"/>
      <c r="AI131"/>
      <c r="AZ131" s="1655"/>
      <c r="BA131" s="1618">
        <v>131</v>
      </c>
    </row>
    <row r="132" spans="1:53" s="144" customFormat="1" ht="12.6" customHeight="1">
      <c r="B132" s="144" t="s">
        <v>1169</v>
      </c>
      <c r="G132" s="3163"/>
      <c r="H132" s="3164"/>
      <c r="J132" s="291"/>
      <c r="K132" s="291"/>
      <c r="L132" s="291"/>
      <c r="M132" s="291"/>
      <c r="N132" s="291"/>
      <c r="P132" s="291"/>
      <c r="Q132" s="291"/>
      <c r="S132" s="3163"/>
      <c r="T132" s="3164"/>
      <c r="V132" s="836"/>
      <c r="W132" s="3235"/>
      <c r="X132" s="3236"/>
      <c r="AZ132" s="1655" t="s">
        <v>4288</v>
      </c>
      <c r="BA132" s="1618">
        <v>132</v>
      </c>
    </row>
    <row r="133" spans="1:53" s="144" customFormat="1" ht="12.6" customHeight="1">
      <c r="B133" s="144" t="s">
        <v>1170</v>
      </c>
      <c r="E133" s="646" t="s">
        <v>3054</v>
      </c>
      <c r="F133" s="364">
        <f>IF('Part V-Revenues &amp; Expenses'!$P$67=0,0,G133/'Part V-Revenues &amp; Expenses'!$P$67)</f>
        <v>2780</v>
      </c>
      <c r="G133" s="3163">
        <v>139000</v>
      </c>
      <c r="H133" s="3164"/>
      <c r="J133" s="3183">
        <f>G133</f>
        <v>139000</v>
      </c>
      <c r="K133" s="3184"/>
      <c r="L133" s="815"/>
      <c r="M133" s="3183"/>
      <c r="N133" s="3184"/>
      <c r="P133" s="3183"/>
      <c r="Q133" s="3184"/>
      <c r="S133" s="3163"/>
      <c r="T133" s="3164"/>
      <c r="V133" s="836"/>
      <c r="W133" s="3235"/>
      <c r="X133" s="3236"/>
      <c r="AZ133" s="1655" t="s">
        <v>4289</v>
      </c>
      <c r="BA133" s="1618">
        <v>133</v>
      </c>
    </row>
    <row r="134" spans="1:53" s="144" customFormat="1" ht="12.6" customHeight="1" thickBot="1">
      <c r="A134" s="303" t="str">
        <f>IF(AND(G134&gt;0,OR(C134="",C134="&lt;Enter detailed description here; use Comments section if needed&gt;")),"X","")</f>
        <v/>
      </c>
      <c r="B134" s="147" t="s">
        <v>4172</v>
      </c>
      <c r="C134" s="3325" t="s">
        <v>4613</v>
      </c>
      <c r="D134" s="3325"/>
      <c r="E134" s="3325"/>
      <c r="F134" s="3326"/>
      <c r="G134" s="3155"/>
      <c r="H134" s="3156"/>
      <c r="J134" s="3333"/>
      <c r="K134" s="3334"/>
      <c r="L134" s="815"/>
      <c r="M134" s="3155"/>
      <c r="N134" s="3156"/>
      <c r="P134" s="3155"/>
      <c r="Q134" s="3156"/>
      <c r="S134" s="3155"/>
      <c r="T134" s="3156"/>
      <c r="U134" s="302" t="str">
        <f>IF(AND(G134&gt;0,OR(C134="",C134="&lt;Enter detailed description here; use Comments section if needed&gt;")),"NO DESCRIPTION PROVIDED - please enter detailed description in Other box at left; use Comments section below if needed.","")</f>
        <v/>
      </c>
      <c r="V134" s="836"/>
      <c r="W134" s="3286"/>
      <c r="X134" s="3287"/>
      <c r="AZ134" s="1655"/>
      <c r="BA134" s="1618">
        <v>134</v>
      </c>
    </row>
    <row r="135" spans="1:53" s="144" customFormat="1" ht="12.6" customHeight="1" thickTop="1">
      <c r="B135" s="292"/>
      <c r="F135" s="281" t="s">
        <v>184</v>
      </c>
      <c r="G135" s="3323">
        <f>SUM(G129:G134)</f>
        <v>609741</v>
      </c>
      <c r="H135" s="3324"/>
      <c r="J135" s="3323">
        <f>SUM(J133:J134)</f>
        <v>139000</v>
      </c>
      <c r="K135" s="3324"/>
      <c r="L135" s="815"/>
      <c r="M135" s="3323">
        <f>SUM(M133:M134)</f>
        <v>0</v>
      </c>
      <c r="N135" s="3324"/>
      <c r="P135" s="3323">
        <f>SUM(P133:P134)</f>
        <v>0</v>
      </c>
      <c r="Q135" s="3324"/>
      <c r="S135" s="3323">
        <f>SUM(S129:S134)</f>
        <v>470741</v>
      </c>
      <c r="T135" s="3324"/>
      <c r="V135" s="838">
        <f>SUM(V129:V134)</f>
        <v>0</v>
      </c>
      <c r="W135" s="3307"/>
      <c r="X135" s="3308"/>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2517</v>
      </c>
      <c r="J139" s="3314" t="s">
        <v>259</v>
      </c>
      <c r="K139" s="3315"/>
      <c r="L139" s="280"/>
      <c r="M139" s="3327" t="s">
        <v>459</v>
      </c>
      <c r="N139" s="3328"/>
      <c r="P139" s="3314" t="s">
        <v>260</v>
      </c>
      <c r="Q139" s="3315"/>
      <c r="S139" s="3314" t="s">
        <v>261</v>
      </c>
      <c r="T139" s="3315"/>
      <c r="V139" s="343" t="str">
        <f>B139</f>
        <v>DEVELOPMENT BUDGET  (cont'd)</v>
      </c>
      <c r="AZ139" s="1655"/>
      <c r="BA139" s="1618">
        <v>139</v>
      </c>
    </row>
    <row r="140" spans="1:53" s="144" customFormat="1" ht="18" customHeight="1" thickBot="1">
      <c r="G140" s="3331" t="s">
        <v>95</v>
      </c>
      <c r="H140" s="3332"/>
      <c r="J140" s="3316"/>
      <c r="K140" s="3317"/>
      <c r="L140" s="280"/>
      <c r="M140" s="3329"/>
      <c r="N140" s="3330"/>
      <c r="P140" s="3316"/>
      <c r="Q140" s="3317"/>
      <c r="S140" s="3316"/>
      <c r="T140" s="3317"/>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3"/>
      <c r="H142" s="3184"/>
      <c r="J142" s="3183"/>
      <c r="K142" s="3184"/>
      <c r="L142" s="282"/>
      <c r="M142" s="3183"/>
      <c r="N142" s="3184"/>
      <c r="P142" s="3183"/>
      <c r="Q142" s="3184"/>
      <c r="S142" s="3183"/>
      <c r="T142" s="3184"/>
      <c r="V142" s="836"/>
      <c r="W142" s="3235"/>
      <c r="X142" s="3236"/>
      <c r="AZ142" s="1655"/>
      <c r="BA142" s="1618">
        <v>142</v>
      </c>
    </row>
    <row r="143" spans="1:53" s="144" customFormat="1" ht="12.6" customHeight="1" thickBot="1">
      <c r="A143" s="303" t="str">
        <f>IF(AND(G143&gt;0,OR(C143="",C143="&lt;Enter detailed description here; use Comments section if needed&gt;")),"X","")</f>
        <v/>
      </c>
      <c r="B143" s="147" t="s">
        <v>4172</v>
      </c>
      <c r="C143" s="3325" t="s">
        <v>4613</v>
      </c>
      <c r="D143" s="3325"/>
      <c r="E143" s="3325"/>
      <c r="F143" s="3326"/>
      <c r="G143" s="3155"/>
      <c r="H143" s="3156"/>
      <c r="J143" s="3155"/>
      <c r="K143" s="3156"/>
      <c r="L143" s="815"/>
      <c r="M143" s="3155"/>
      <c r="N143" s="3156"/>
      <c r="P143" s="3155"/>
      <c r="Q143" s="3156"/>
      <c r="S143" s="3155"/>
      <c r="T143" s="3156"/>
      <c r="U143" s="302" t="str">
        <f>IF(AND(G143&gt;0,OR(C143="",C143="&lt;Enter detailed description here; use Comments section if needed&gt;")),"NO DESCRIPTION PROVIDED - please enter detailed description in Other box at left; use Comments section below if needed.","")</f>
        <v/>
      </c>
      <c r="V143" s="836"/>
      <c r="W143" s="3286"/>
      <c r="X143" s="3287"/>
      <c r="AZ143" s="1655"/>
      <c r="BA143" s="1618">
        <v>143</v>
      </c>
    </row>
    <row r="144" spans="1:53" s="144" customFormat="1" ht="12.6" customHeight="1" thickTop="1">
      <c r="C144" s="246"/>
      <c r="F144" s="281" t="s">
        <v>184</v>
      </c>
      <c r="G144" s="3323">
        <f>SUM(G142:G143)</f>
        <v>0</v>
      </c>
      <c r="H144" s="3324"/>
      <c r="J144" s="3323">
        <f>SUM(J142:J143)</f>
        <v>0</v>
      </c>
      <c r="K144" s="3324"/>
      <c r="L144" s="815"/>
      <c r="M144" s="3323">
        <f>SUM(M142:M143)</f>
        <v>0</v>
      </c>
      <c r="N144" s="3324"/>
      <c r="P144" s="3323">
        <f>SUM(P142:P143)</f>
        <v>0</v>
      </c>
      <c r="Q144" s="3324"/>
      <c r="S144" s="3323">
        <f>SUM(S142:S143)</f>
        <v>0</v>
      </c>
      <c r="T144" s="3324"/>
      <c r="V144" s="838">
        <f>SUM(V142:V143)</f>
        <v>0</v>
      </c>
      <c r="W144" s="3307"/>
      <c r="X144" s="3308"/>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4387</v>
      </c>
      <c r="E146" s="646"/>
      <c r="F146" s="1248"/>
      <c r="G146" s="3320">
        <f>G18+G24+G28+G36+G41+G46+G55+G73+G86+G92+G103+G114+G120+G127+G135+G144</f>
        <v>22079947</v>
      </c>
      <c r="H146" s="3321"/>
      <c r="J146" s="3320">
        <f>J18+J24+J28+J36+J41+J46+J55+J73+J86+J92+J103+J114+J120+J127+J135+J144</f>
        <v>18593631</v>
      </c>
      <c r="K146" s="3321"/>
      <c r="M146" s="3320">
        <f>M18+M24+M28+M36+M41+M46+M55+M73+M86+M92+M103+M114+M120+M127+M135+M144</f>
        <v>0</v>
      </c>
      <c r="N146" s="3321"/>
      <c r="P146" s="3320">
        <f>P18+P24+P28+P36+P41+P46+P55+P73+P86+P92+P103+P114+P120+P127+P135+P144</f>
        <v>0</v>
      </c>
      <c r="Q146" s="3321"/>
      <c r="S146" s="3320">
        <f>S18+S24+S28+S36+S41+S46+S55+S73+S86+S92+S103+S114+S120+S127+S135+S144</f>
        <v>3486316</v>
      </c>
      <c r="T146" s="3321"/>
      <c r="V146" s="842">
        <f>V18+V24+V28+V36+V41+V46+V55+V73+V86+V92+V103+V114+V120+V127+V135+V144</f>
        <v>0</v>
      </c>
      <c r="W146" s="3322"/>
      <c r="X146" s="3308"/>
      <c r="AZ146" s="1655"/>
      <c r="BA146" s="1618">
        <v>146</v>
      </c>
    </row>
    <row r="147" spans="1:53" s="144" customFormat="1" ht="12" customHeight="1">
      <c r="C147" s="246"/>
      <c r="H147" s="288"/>
      <c r="I147" s="288"/>
      <c r="V147" s="839"/>
      <c r="AZ147" s="1655"/>
      <c r="BA147" s="1618">
        <v>147</v>
      </c>
    </row>
    <row r="148" spans="1:53" s="144" customFormat="1" ht="14.1" customHeight="1">
      <c r="B148" s="390" t="s">
        <v>2482</v>
      </c>
      <c r="C148" s="388"/>
      <c r="D148" s="3311">
        <f>IF('Part V-Revenues &amp; Expenses'!$P$67=0,0,G146/'Part V-Revenues &amp; Expenses'!$P$67)</f>
        <v>441598.94</v>
      </c>
      <c r="E148" s="3311"/>
      <c r="F148" s="389" t="s">
        <v>2481</v>
      </c>
      <c r="G148" s="3312">
        <f>IF('Part V-Revenues &amp; Expenses'!$K$179=0,0,G146/'Part V-Revenues &amp; Expenses'!$K$179)</f>
        <v>402.91874087591242</v>
      </c>
      <c r="H148" s="3313"/>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4" t="s">
        <v>259</v>
      </c>
      <c r="K150" s="3315"/>
      <c r="M150" s="3314" t="s">
        <v>94</v>
      </c>
      <c r="N150" s="3315"/>
      <c r="P150" s="3314" t="s">
        <v>260</v>
      </c>
      <c r="Q150" s="3315"/>
      <c r="V150" s="839"/>
      <c r="W150" s="343" t="str">
        <f>B150</f>
        <v>TAX CREDIT CALCULATION - BASIS METHOD</v>
      </c>
      <c r="AZ150" s="1655"/>
      <c r="BA150" s="1618">
        <v>150</v>
      </c>
    </row>
    <row r="151" spans="1:53" s="144" customFormat="1" ht="15" customHeight="1" thickBot="1">
      <c r="B151" s="222" t="s">
        <v>1889</v>
      </c>
      <c r="D151" s="815"/>
      <c r="E151" s="815"/>
      <c r="I151" s="295"/>
      <c r="J151" s="3316"/>
      <c r="K151" s="3317"/>
      <c r="L151" s="374"/>
      <c r="M151" s="3316"/>
      <c r="N151" s="3317"/>
      <c r="P151" s="3316"/>
      <c r="Q151" s="3317"/>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8">
        <v>0</v>
      </c>
      <c r="K153" s="3319"/>
      <c r="P153" s="3318">
        <v>0</v>
      </c>
      <c r="Q153" s="3319"/>
      <c r="V153" s="836"/>
      <c r="W153" s="3235"/>
      <c r="X153" s="3236"/>
      <c r="AZ153" s="1655"/>
      <c r="BA153" s="1618">
        <v>153</v>
      </c>
    </row>
    <row r="154" spans="1:53" s="144" customFormat="1" ht="14.1" customHeight="1">
      <c r="B154" s="144" t="s">
        <v>1993</v>
      </c>
      <c r="I154" s="295"/>
      <c r="J154" s="3309">
        <v>0</v>
      </c>
      <c r="K154" s="3310"/>
      <c r="P154" s="3309">
        <v>0</v>
      </c>
      <c r="Q154" s="3310"/>
      <c r="V154" s="836"/>
      <c r="W154" s="3235"/>
      <c r="X154" s="3236"/>
      <c r="AZ154" s="1655"/>
      <c r="BA154" s="1618">
        <v>154</v>
      </c>
    </row>
    <row r="155" spans="1:53" s="144" customFormat="1" ht="14.1" customHeight="1">
      <c r="B155" s="144" t="s">
        <v>1722</v>
      </c>
      <c r="I155" s="295"/>
      <c r="J155" s="3309">
        <v>0</v>
      </c>
      <c r="K155" s="3310"/>
      <c r="P155" s="3309">
        <v>0</v>
      </c>
      <c r="Q155" s="3310"/>
      <c r="V155" s="836"/>
      <c r="W155" s="3235"/>
      <c r="X155" s="3236"/>
      <c r="AZ155" s="1655"/>
      <c r="BA155" s="1618">
        <v>155</v>
      </c>
    </row>
    <row r="156" spans="1:53" s="144" customFormat="1" ht="14.1" customHeight="1">
      <c r="B156" s="144" t="s">
        <v>1723</v>
      </c>
      <c r="I156" s="295"/>
      <c r="J156" s="3309">
        <v>0</v>
      </c>
      <c r="K156" s="3310"/>
      <c r="P156" s="3309">
        <v>0</v>
      </c>
      <c r="Q156" s="3310"/>
      <c r="V156" s="836"/>
      <c r="W156" s="3235"/>
      <c r="X156" s="3236"/>
      <c r="AZ156" s="1655"/>
      <c r="BA156" s="1618">
        <v>156</v>
      </c>
    </row>
    <row r="157" spans="1:53" s="144" customFormat="1" ht="14.1" customHeight="1">
      <c r="B157" s="144" t="s">
        <v>243</v>
      </c>
      <c r="I157" s="295"/>
      <c r="J157" s="3309">
        <v>0</v>
      </c>
      <c r="K157" s="3310"/>
      <c r="P157" s="3309">
        <v>0</v>
      </c>
      <c r="Q157" s="3310"/>
      <c r="V157" s="836"/>
      <c r="W157" s="3235"/>
      <c r="X157" s="3236"/>
      <c r="AZ157" s="1655"/>
      <c r="BA157" s="1618">
        <v>157</v>
      </c>
    </row>
    <row r="158" spans="1:53" s="144" customFormat="1" ht="14.1" customHeight="1" thickBot="1">
      <c r="B158" s="144" t="s">
        <v>1494</v>
      </c>
      <c r="C158" s="3303" t="s">
        <v>2218</v>
      </c>
      <c r="D158" s="3303"/>
      <c r="E158" s="3303"/>
      <c r="F158" s="3303"/>
      <c r="G158" s="3303"/>
      <c r="H158" s="3303"/>
      <c r="I158" s="3304"/>
      <c r="J158" s="3305">
        <v>0</v>
      </c>
      <c r="K158" s="3306"/>
      <c r="P158" s="3305">
        <v>0</v>
      </c>
      <c r="Q158" s="3306"/>
      <c r="V158" s="836"/>
      <c r="W158" s="3286"/>
      <c r="X158" s="3287"/>
      <c r="AZ158" s="1655"/>
      <c r="BA158" s="1618">
        <v>158</v>
      </c>
    </row>
    <row r="159" spans="1:53" s="144" customFormat="1" ht="14.1" customHeight="1" thickBot="1">
      <c r="B159" s="243" t="s">
        <v>1724</v>
      </c>
      <c r="C159" s="250"/>
      <c r="J159" s="3095">
        <f>SUM(J153:K158)</f>
        <v>0</v>
      </c>
      <c r="K159" s="3096"/>
      <c r="P159" s="3095">
        <f>SUM(P153:Q158)</f>
        <v>0</v>
      </c>
      <c r="Q159" s="3096"/>
      <c r="V159" s="838">
        <f>SUM(V153:V158)</f>
        <v>0</v>
      </c>
      <c r="W159" s="3307"/>
      <c r="X159" s="3308"/>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8">
        <f>J146</f>
        <v>18593631</v>
      </c>
      <c r="K162" s="3250"/>
      <c r="M162" s="3300">
        <f>M146</f>
        <v>0</v>
      </c>
      <c r="N162" s="3301"/>
      <c r="P162" s="3248">
        <f>P146</f>
        <v>0</v>
      </c>
      <c r="Q162" s="3250"/>
      <c r="R162" s="3302" t="s">
        <v>4749</v>
      </c>
      <c r="S162" s="3255"/>
      <c r="T162" s="3255"/>
      <c r="V162" s="836"/>
      <c r="W162" s="3235"/>
      <c r="X162" s="3236"/>
      <c r="AZ162" s="1655"/>
      <c r="BA162" s="1618">
        <v>162</v>
      </c>
    </row>
    <row r="163" spans="1:53" s="144" customFormat="1" ht="14.1" customHeight="1">
      <c r="B163" s="144" t="s">
        <v>2047</v>
      </c>
      <c r="J163" s="3264">
        <f>J159</f>
        <v>0</v>
      </c>
      <c r="K163" s="3266"/>
      <c r="M163" s="3246"/>
      <c r="N163" s="3246"/>
      <c r="P163" s="3264">
        <f>P159</f>
        <v>0</v>
      </c>
      <c r="Q163" s="3266"/>
      <c r="R163" s="3302"/>
      <c r="S163" s="3255"/>
      <c r="T163" s="3255"/>
      <c r="U163" s="1110"/>
      <c r="V163" s="836"/>
      <c r="W163" s="3235"/>
      <c r="X163" s="3236"/>
      <c r="AZ163" s="1655"/>
      <c r="BA163" s="1618">
        <v>163</v>
      </c>
    </row>
    <row r="164" spans="1:53" s="144" customFormat="1" ht="14.1" customHeight="1">
      <c r="B164" s="144" t="s">
        <v>2048</v>
      </c>
      <c r="J164" s="3264">
        <f>J162-J163</f>
        <v>18593631</v>
      </c>
      <c r="K164" s="3266"/>
      <c r="M164" s="3245">
        <f>M162</f>
        <v>0</v>
      </c>
      <c r="N164" s="3247"/>
      <c r="P164" s="3264">
        <f>P162-P163</f>
        <v>0</v>
      </c>
      <c r="Q164" s="3266"/>
      <c r="R164" s="3288" t="s">
        <v>4750</v>
      </c>
      <c r="S164" s="3289"/>
      <c r="T164" s="3290"/>
      <c r="U164" s="1110"/>
      <c r="V164" s="836"/>
      <c r="W164" s="3235"/>
      <c r="X164" s="3236"/>
      <c r="AZ164" s="1655"/>
      <c r="BA164" s="1618">
        <v>164</v>
      </c>
    </row>
    <row r="165" spans="1:53" s="144" customFormat="1" ht="14.1" customHeight="1">
      <c r="B165" s="144" t="s">
        <v>1388</v>
      </c>
      <c r="G165" s="248" t="s">
        <v>1591</v>
      </c>
      <c r="H165" s="3297" t="s">
        <v>1641</v>
      </c>
      <c r="I165" s="3298"/>
      <c r="J165" s="3277">
        <v>1</v>
      </c>
      <c r="K165" s="3278"/>
      <c r="M165" s="3299"/>
      <c r="N165" s="3299"/>
      <c r="P165" s="3277">
        <v>1</v>
      </c>
      <c r="Q165" s="3278"/>
      <c r="R165" s="3291"/>
      <c r="S165" s="3292"/>
      <c r="T165" s="3293"/>
      <c r="U165" s="1111"/>
      <c r="V165" s="836"/>
      <c r="W165" s="3235"/>
      <c r="X165" s="3236"/>
      <c r="AZ165" s="1655"/>
      <c r="BA165" s="1618">
        <v>165</v>
      </c>
    </row>
    <row r="166" spans="1:53" s="144" customFormat="1" ht="14.1" customHeight="1">
      <c r="B166" s="144" t="s">
        <v>1898</v>
      </c>
      <c r="J166" s="3264">
        <f>J164*J165</f>
        <v>18593631</v>
      </c>
      <c r="K166" s="3266"/>
      <c r="M166" s="3248">
        <f>+M164</f>
        <v>0</v>
      </c>
      <c r="N166" s="3250"/>
      <c r="P166" s="3264">
        <f>P164*P165</f>
        <v>0</v>
      </c>
      <c r="Q166" s="3266"/>
      <c r="R166" s="3294"/>
      <c r="S166" s="3295"/>
      <c r="T166" s="3296"/>
      <c r="U166" s="1111"/>
      <c r="V166" s="836"/>
      <c r="W166" s="3235"/>
      <c r="X166" s="3236"/>
      <c r="AZ166" s="1655"/>
      <c r="BA166" s="1618">
        <v>166</v>
      </c>
    </row>
    <row r="167" spans="1:53" s="144" customFormat="1" ht="14.1" customHeight="1">
      <c r="B167" s="144" t="s">
        <v>2333</v>
      </c>
      <c r="J167" s="3279">
        <f>MIN('Part V-Revenues &amp; Expenses'!$P$63/'Part V-Revenues &amp; Expenses'!$P$65,'Part V-Revenues &amp; Expenses'!$P$168/'Part V-Revenues &amp; Expenses'!$P$170)</f>
        <v>1</v>
      </c>
      <c r="K167" s="3280"/>
      <c r="M167" s="3279">
        <f>MIN('Part V-Revenues &amp; Expenses'!$P$63/'Part V-Revenues &amp; Expenses'!$P$65,'Part V-Revenues &amp; Expenses'!$P$168/'Part V-Revenues &amp; Expenses'!$P$170)</f>
        <v>1</v>
      </c>
      <c r="N167" s="3280"/>
      <c r="P167" s="3279">
        <f>MIN('Part V-Revenues &amp; Expenses'!$P$63/'Part V-Revenues &amp; Expenses'!$P$65,'Part V-Revenues &amp; Expenses'!$P$168/'Part V-Revenues &amp; Expenses'!$P$170)</f>
        <v>1</v>
      </c>
      <c r="Q167" s="3280"/>
      <c r="R167" s="3281" t="s">
        <v>4751</v>
      </c>
      <c r="S167" s="3282"/>
      <c r="T167" s="3283"/>
      <c r="V167" s="836"/>
      <c r="W167" s="3235"/>
      <c r="X167" s="3236"/>
      <c r="AZ167" s="1655"/>
      <c r="BA167" s="1618">
        <v>167</v>
      </c>
    </row>
    <row r="168" spans="1:53" s="144" customFormat="1" ht="14.1" customHeight="1">
      <c r="B168" s="144" t="s">
        <v>1890</v>
      </c>
      <c r="J168" s="3264">
        <f>J166*J167</f>
        <v>18593631</v>
      </c>
      <c r="K168" s="3266"/>
      <c r="M168" s="3264">
        <f>M166*M167</f>
        <v>0</v>
      </c>
      <c r="N168" s="3266"/>
      <c r="P168" s="3264">
        <f>P166*P167</f>
        <v>0</v>
      </c>
      <c r="Q168" s="3266"/>
      <c r="V168" s="836"/>
      <c r="W168" s="3235"/>
      <c r="X168" s="3236"/>
      <c r="AZ168" s="1655"/>
      <c r="BA168" s="1618">
        <v>168</v>
      </c>
    </row>
    <row r="169" spans="1:53" s="144" customFormat="1" ht="14.1" customHeight="1">
      <c r="B169" s="144" t="s">
        <v>1891</v>
      </c>
      <c r="J169" s="3277">
        <v>0.09</v>
      </c>
      <c r="K169" s="3278"/>
      <c r="M169" s="3277">
        <v>0.04</v>
      </c>
      <c r="N169" s="3278"/>
      <c r="P169" s="3277">
        <v>0.09</v>
      </c>
      <c r="Q169" s="3278"/>
      <c r="V169" s="836"/>
      <c r="W169" s="3235"/>
      <c r="X169" s="3236"/>
      <c r="AZ169" s="1655"/>
      <c r="BA169" s="1618">
        <v>169</v>
      </c>
    </row>
    <row r="170" spans="1:53" s="144" customFormat="1" ht="14.1" customHeight="1" thickBot="1">
      <c r="B170" s="144" t="s">
        <v>2334</v>
      </c>
      <c r="J170" s="3284">
        <f>J168*J169</f>
        <v>1673426.79</v>
      </c>
      <c r="K170" s="3285"/>
      <c r="M170" s="3284">
        <f>M168*M169</f>
        <v>0</v>
      </c>
      <c r="N170" s="3285"/>
      <c r="P170" s="3284">
        <f>P168*P169</f>
        <v>0</v>
      </c>
      <c r="Q170" s="3285"/>
      <c r="V170" s="843"/>
      <c r="W170" s="3286"/>
      <c r="X170" s="3287"/>
      <c r="AZ170" s="1655"/>
      <c r="BA170" s="1618">
        <v>170</v>
      </c>
    </row>
    <row r="171" spans="1:53" s="144" customFormat="1" ht="14.1" customHeight="1" thickBot="1">
      <c r="B171" s="243" t="s">
        <v>1337</v>
      </c>
      <c r="J171" s="3095">
        <f>ROUNDDOWN(J170+M170+P170,0)</f>
        <v>1673426</v>
      </c>
      <c r="K171" s="3241"/>
      <c r="L171" s="3241"/>
      <c r="M171" s="3241"/>
      <c r="N171" s="3241"/>
      <c r="O171" s="3241"/>
      <c r="P171" s="3241"/>
      <c r="Q171" s="3096"/>
      <c r="V171" s="838"/>
      <c r="W171" s="3275"/>
      <c r="X171" s="3276"/>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3809</v>
      </c>
      <c r="J176" s="3248">
        <f>G146</f>
        <v>22079947</v>
      </c>
      <c r="K176" s="3249"/>
      <c r="L176" s="3250"/>
      <c r="N176" s="3251" t="s">
        <v>4608</v>
      </c>
      <c r="O176" s="3252"/>
      <c r="P176" s="3252"/>
      <c r="Q176" s="3253"/>
      <c r="S176" s="3260" t="s">
        <v>3104</v>
      </c>
      <c r="T176" s="3261"/>
      <c r="V176" s="836"/>
      <c r="W176" s="3235"/>
      <c r="X176" s="3236"/>
      <c r="AZ176" s="1655"/>
      <c r="BA176" s="1618">
        <v>176</v>
      </c>
    </row>
    <row r="177" spans="1:53" s="144" customFormat="1" ht="14.1" customHeight="1">
      <c r="B177" s="144" t="s">
        <v>252</v>
      </c>
      <c r="J177" s="3264">
        <f>'Part II-Sources of Funds'!$I$60-'Part II-Sources of Funds'!$I$44-'Part II-Sources of Funds'!$I$45-'Part II-Sources of Funds'!$I$51-'Part II-Sources of Funds'!$I$52</f>
        <v>3721248</v>
      </c>
      <c r="K177" s="3265"/>
      <c r="L177" s="3266"/>
      <c r="M177" s="1879"/>
      <c r="N177" s="3254"/>
      <c r="O177" s="3255"/>
      <c r="P177" s="3255"/>
      <c r="Q177" s="3256"/>
      <c r="S177" s="3262"/>
      <c r="T177" s="3263"/>
      <c r="V177" s="836"/>
      <c r="W177" s="3235"/>
      <c r="X177" s="3236"/>
      <c r="AZ177" s="1655"/>
      <c r="BA177" s="1618">
        <v>177</v>
      </c>
    </row>
    <row r="178" spans="1:53" s="144" customFormat="1" ht="14.1" customHeight="1">
      <c r="B178" s="144" t="s">
        <v>2059</v>
      </c>
      <c r="J178" s="3267">
        <f>+J176-J177</f>
        <v>18358699</v>
      </c>
      <c r="K178" s="3268"/>
      <c r="L178" s="3269"/>
      <c r="M178" s="1879"/>
      <c r="N178" s="3257"/>
      <c r="O178" s="3258"/>
      <c r="P178" s="3258"/>
      <c r="Q178" s="3259"/>
      <c r="S178" s="3262"/>
      <c r="T178" s="3263"/>
      <c r="V178" s="836"/>
      <c r="W178" s="3235"/>
      <c r="X178" s="3236"/>
      <c r="AZ178" s="1655"/>
      <c r="BA178" s="1618">
        <v>178</v>
      </c>
    </row>
    <row r="179" spans="1:53" s="144" customFormat="1" ht="14.1" customHeight="1" thickBot="1">
      <c r="B179" s="144" t="s">
        <v>1207</v>
      </c>
      <c r="J179" s="3140" t="str">
        <f>"/ 10"</f>
        <v>/ 10</v>
      </c>
      <c r="K179" s="3140"/>
      <c r="L179" s="3140"/>
      <c r="M179" s="223"/>
      <c r="N179" s="3242">
        <f>'Part II-Sources of Funds'!$I$44</f>
        <v>0</v>
      </c>
      <c r="O179" s="3243"/>
      <c r="P179" s="3243"/>
      <c r="Q179" s="3244"/>
      <c r="S179" s="328" t="s">
        <v>1546</v>
      </c>
      <c r="T179" s="329" t="s">
        <v>2645</v>
      </c>
      <c r="V179" s="836"/>
      <c r="W179" s="3235"/>
      <c r="X179" s="3236"/>
      <c r="AZ179" s="1655"/>
      <c r="BA179" s="1618">
        <v>179</v>
      </c>
    </row>
    <row r="180" spans="1:53" s="144" customFormat="1" ht="14.1" customHeight="1">
      <c r="B180" s="144" t="s">
        <v>1208</v>
      </c>
      <c r="J180" s="3245">
        <f>J178/10</f>
        <v>1835869.9</v>
      </c>
      <c r="K180" s="3246"/>
      <c r="L180" s="3247"/>
      <c r="N180" s="368"/>
      <c r="O180" s="368"/>
      <c r="P180" s="368"/>
      <c r="Q180" s="368"/>
      <c r="R180" s="368"/>
      <c r="V180" s="836"/>
      <c r="W180" s="3235"/>
      <c r="X180" s="3236"/>
      <c r="AZ180" s="1655"/>
      <c r="BA180" s="1618">
        <v>180</v>
      </c>
    </row>
    <row r="181" spans="1:53" s="144" customFormat="1" ht="14.1" customHeight="1">
      <c r="M181" s="145"/>
      <c r="N181" s="3153" t="s">
        <v>1209</v>
      </c>
      <c r="O181" s="3153"/>
      <c r="Q181" s="3153" t="s">
        <v>1666</v>
      </c>
      <c r="R181" s="3153"/>
      <c r="V181" s="836"/>
      <c r="W181" s="3235"/>
      <c r="X181" s="3236"/>
      <c r="Z181" s="1729" t="s">
        <v>1641</v>
      </c>
      <c r="AZ181" s="1655"/>
      <c r="BA181" s="1618">
        <v>181</v>
      </c>
    </row>
    <row r="182" spans="1:53" s="144" customFormat="1" ht="14.1" customHeight="1" thickBot="1">
      <c r="B182" s="144" t="s">
        <v>1387</v>
      </c>
      <c r="J182" s="3270">
        <f>N182+Q182</f>
        <v>1.3399999999999999</v>
      </c>
      <c r="K182" s="3271"/>
      <c r="L182" s="3272"/>
      <c r="M182" s="248" t="s">
        <v>1210</v>
      </c>
      <c r="N182" s="3273">
        <v>0.85</v>
      </c>
      <c r="O182" s="3274"/>
      <c r="P182" s="248" t="s">
        <v>569</v>
      </c>
      <c r="Q182" s="3273">
        <v>0.49</v>
      </c>
      <c r="R182" s="3274"/>
      <c r="V182" s="836"/>
      <c r="W182" s="3235"/>
      <c r="X182" s="3236"/>
      <c r="Z182" s="1730">
        <f>'DCA Underwriting Assumptions'!Q134</f>
        <v>0</v>
      </c>
      <c r="AZ182" s="1655"/>
      <c r="BA182" s="1618">
        <v>182</v>
      </c>
    </row>
    <row r="183" spans="1:53" s="144" customFormat="1" ht="14.1" customHeight="1" thickBot="1">
      <c r="B183" s="243" t="s">
        <v>1338</v>
      </c>
      <c r="J183" s="3095">
        <f>ROUNDDOWN(IF(J182=0,"",J180/J182),0)</f>
        <v>1370052</v>
      </c>
      <c r="K183" s="3241"/>
      <c r="L183" s="3096"/>
      <c r="M183" s="145"/>
      <c r="V183" s="836"/>
      <c r="W183" s="3235"/>
      <c r="X183" s="3236"/>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3808</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4607</v>
      </c>
      <c r="J187" s="3230">
        <v>1350000</v>
      </c>
      <c r="K187" s="3231"/>
      <c r="L187" s="3232"/>
      <c r="Q187" s="147" t="s">
        <v>4144</v>
      </c>
      <c r="R187" s="147"/>
      <c r="S187" s="3233" t="str">
        <f>'Part VIII Scoring Criteria'!$J$12</f>
        <v>Atlanta Metro</v>
      </c>
      <c r="T187" s="3234"/>
      <c r="U187" s="1534" t="str">
        <f>IF(OR(S187="Atlanta Metro", "Other Metro"), "Metro", IF(S187="Rural","Rural",""))</f>
        <v>Metro</v>
      </c>
      <c r="V187" s="836"/>
      <c r="W187" s="3235"/>
      <c r="X187" s="3236"/>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3942</v>
      </c>
      <c r="J189" s="3230">
        <v>1350000</v>
      </c>
      <c r="K189" s="3231"/>
      <c r="L189" s="3232"/>
      <c r="M189" s="3237" t="str">
        <f>IF(J187=0,"",IF(J189&gt;J187,"Request can't exceed Maximum - REVISE (Try Round Down)!",""))</f>
        <v/>
      </c>
      <c r="N189" s="3237"/>
      <c r="O189" s="3237"/>
      <c r="P189" s="3237"/>
      <c r="Q189" s="241" t="s">
        <v>4438</v>
      </c>
      <c r="R189" s="147"/>
      <c r="S189" s="3233" t="str">
        <f>'Part VIII Scoring Criteria'!$F$12</f>
        <v>New Affordability</v>
      </c>
      <c r="T189" s="3234"/>
      <c r="V189" s="836"/>
      <c r="W189" s="3235"/>
      <c r="X189" s="3236"/>
      <c r="AZ189" s="1651"/>
      <c r="BA189" s="1618">
        <v>189</v>
      </c>
    </row>
    <row r="190" spans="1:53" s="144" customFormat="1" ht="3" customHeight="1">
      <c r="J190" s="298"/>
      <c r="K190" s="298"/>
      <c r="L190" s="298"/>
      <c r="M190" s="3237"/>
      <c r="N190" s="3237"/>
      <c r="O190" s="3237"/>
      <c r="P190" s="3237"/>
      <c r="Q190" s="147"/>
      <c r="R190" s="147"/>
      <c r="S190" s="241"/>
      <c r="T190" s="241"/>
      <c r="V190" s="839"/>
      <c r="W190" s="834"/>
      <c r="X190" s="835"/>
      <c r="AZ190" s="1651"/>
      <c r="BA190" s="1618">
        <v>190</v>
      </c>
    </row>
    <row r="191" spans="1:53" s="144" customFormat="1" ht="16.350000000000001" customHeight="1">
      <c r="A191" s="343"/>
      <c r="B191" s="343" t="s">
        <v>3943</v>
      </c>
      <c r="D191" s="145"/>
      <c r="E191" s="145"/>
      <c r="F191" s="246"/>
      <c r="J191" s="3238">
        <f>IF(J189="",0,+MIN(J187,J189))</f>
        <v>1350000</v>
      </c>
      <c r="K191" s="3239"/>
      <c r="L191" s="3240"/>
      <c r="M191" s="3237"/>
      <c r="N191" s="3237"/>
      <c r="O191" s="3237"/>
      <c r="P191" s="3237"/>
      <c r="Q191" s="236" t="s">
        <v>3800</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5"/>
      <c r="X191" s="3236"/>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3" t="s">
        <v>5187</v>
      </c>
      <c r="B195" s="3083"/>
      <c r="C195" s="3083"/>
      <c r="D195" s="3083"/>
      <c r="E195" s="3083"/>
      <c r="F195" s="3083"/>
      <c r="G195" s="3083"/>
      <c r="H195" s="3083"/>
      <c r="I195" s="3083"/>
      <c r="J195" s="3083"/>
      <c r="K195" s="3083"/>
      <c r="L195" s="3083"/>
      <c r="M195" s="3083"/>
      <c r="N195" s="3229"/>
      <c r="O195" s="3229"/>
      <c r="P195" s="3229"/>
      <c r="Q195" s="3229"/>
      <c r="R195" s="3229"/>
      <c r="S195" s="3229"/>
      <c r="T195" s="3229"/>
      <c r="V195" s="739"/>
      <c r="W195" s="3085" t="s">
        <v>2445</v>
      </c>
      <c r="X195" s="3085"/>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vHjUiryL7xSnhUKoHB4uTlDVQg0yBdW/nby1EYQVhtLx3jkwOFqLIOZ3tOKy9tr0i/MGU9wi6sWgVizH+FvXEA==" saltValue="ttuMFOsmugPQ8ejmqXs0tg=="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H47" sqref="H47"/>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19" t="str">
        <f>CONCATENATE("PART THREE (B) -  OTHER COSTS","  -  ",'Part I-Project Identification'!$O$7," - ",'Part I-Project Identification'!$F$26,"  -  ",'Part I-Project Identification'!$F$27,"  -  ",'Part I-Project Identification'!$J$27,",  ","County")</f>
        <v>PART THREE (B) -  OTHER COSTS  -  2024-0 - Lewis Crossing  -  Atlanta  -  Fulton,  County</v>
      </c>
      <c r="B1" s="3420"/>
      <c r="C1" s="3420"/>
      <c r="D1" s="3420"/>
      <c r="E1" s="3420"/>
      <c r="F1" s="3420"/>
      <c r="G1" s="3420"/>
      <c r="H1" s="3420"/>
      <c r="I1" s="709"/>
      <c r="J1" s="709"/>
      <c r="K1" s="709"/>
      <c r="L1" s="709"/>
      <c r="M1" s="709"/>
      <c r="N1" s="709"/>
      <c r="R1" s="2478">
        <v>1</v>
      </c>
    </row>
    <row r="2" spans="1:18" ht="9" customHeight="1">
      <c r="R2" s="2478">
        <v>2</v>
      </c>
    </row>
    <row r="3" spans="1:18" ht="57" customHeight="1">
      <c r="A3" s="3421" t="s">
        <v>3131</v>
      </c>
      <c r="B3" s="3422"/>
      <c r="C3" s="3422"/>
      <c r="D3" s="3422"/>
      <c r="E3" s="3422"/>
      <c r="F3" s="3422"/>
      <c r="G3" s="3422"/>
      <c r="H3" s="3423"/>
      <c r="R3" s="2478">
        <v>3</v>
      </c>
    </row>
    <row r="4" spans="1:18" ht="6" customHeight="1">
      <c r="R4" s="2478">
        <v>4</v>
      </c>
    </row>
    <row r="5" spans="1:18" ht="38.25" customHeight="1">
      <c r="A5" s="3424" t="s">
        <v>3193</v>
      </c>
      <c r="B5" s="3424"/>
      <c r="C5" s="3424"/>
      <c r="D5" s="3424"/>
      <c r="F5" s="710" t="s">
        <v>3123</v>
      </c>
      <c r="G5" s="438"/>
      <c r="H5" s="710" t="s">
        <v>3124</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6" t="str">
        <f>'Part III-A-Uses of Funds'!$C$15</f>
        <v>&lt;&lt; Enter description here; provide detail &amp; justification in tab Part III-b &gt;&gt;</v>
      </c>
      <c r="B9" s="3417"/>
      <c r="C9" s="3417"/>
      <c r="D9" s="3418"/>
      <c r="F9" s="3413"/>
      <c r="G9" s="713"/>
      <c r="H9" s="3413"/>
      <c r="R9" s="2479">
        <v>9</v>
      </c>
    </row>
    <row r="10" spans="1:18" s="712" customFormat="1" ht="41.25" customHeight="1">
      <c r="A10" s="3407"/>
      <c r="B10" s="3408"/>
      <c r="C10" s="3408"/>
      <c r="D10" s="3409"/>
      <c r="F10" s="3414"/>
      <c r="G10" s="713"/>
      <c r="H10" s="3414"/>
      <c r="R10" s="2478">
        <v>10</v>
      </c>
    </row>
    <row r="11" spans="1:18" s="712" customFormat="1" ht="4.5" customHeight="1">
      <c r="F11" s="3414"/>
      <c r="G11" s="713"/>
      <c r="H11" s="3414"/>
      <c r="R11" s="2478">
        <v>11</v>
      </c>
    </row>
    <row r="12" spans="1:18" s="712" customFormat="1" ht="15" customHeight="1">
      <c r="A12" s="722" t="s">
        <v>3126</v>
      </c>
      <c r="B12" s="721">
        <f>'Part III-A-Uses of Funds'!$G$15</f>
        <v>0</v>
      </c>
      <c r="C12" s="722" t="s">
        <v>1660</v>
      </c>
      <c r="D12" s="721">
        <f>'Part III-A-Uses of Funds'!$J$15+'Part III-A-Uses of Funds'!$M$15+'Part III-A-Uses of Funds'!$P$15</f>
        <v>0</v>
      </c>
      <c r="F12" s="3414"/>
      <c r="G12" s="713"/>
      <c r="H12" s="3414"/>
      <c r="R12" s="2478">
        <v>12</v>
      </c>
    </row>
    <row r="13" spans="1:18" s="712" customFormat="1" ht="6" customHeight="1">
      <c r="A13" s="713"/>
      <c r="B13" s="714"/>
      <c r="C13" s="713"/>
      <c r="D13" s="713"/>
      <c r="F13" s="3414"/>
      <c r="G13" s="715"/>
      <c r="H13" s="3414"/>
      <c r="R13" s="2478">
        <v>13</v>
      </c>
    </row>
    <row r="14" spans="1:18" s="712" customFormat="1" ht="41.25" customHeight="1">
      <c r="A14" s="3416" t="str">
        <f>'Part III-A-Uses of Funds'!$C$16</f>
        <v>&lt;&lt; Enter description here; provide detail &amp; justification in tab Part III-b &gt;&gt;</v>
      </c>
      <c r="B14" s="3417"/>
      <c r="C14" s="3417"/>
      <c r="D14" s="3418"/>
      <c r="F14" s="3414"/>
      <c r="G14" s="713"/>
      <c r="H14" s="3414"/>
      <c r="R14" s="2478">
        <v>14</v>
      </c>
    </row>
    <row r="15" spans="1:18" s="712" customFormat="1" ht="41.25" customHeight="1">
      <c r="A15" s="3407"/>
      <c r="B15" s="3408"/>
      <c r="C15" s="3408"/>
      <c r="D15" s="3409"/>
      <c r="F15" s="3414"/>
      <c r="G15" s="713"/>
      <c r="H15" s="3414"/>
      <c r="R15" s="2478">
        <v>15</v>
      </c>
    </row>
    <row r="16" spans="1:18" s="712" customFormat="1" ht="4.5" customHeight="1">
      <c r="F16" s="3414"/>
      <c r="G16" s="713"/>
      <c r="H16" s="3414"/>
      <c r="R16" s="2479">
        <v>16</v>
      </c>
    </row>
    <row r="17" spans="1:18" s="712" customFormat="1" ht="15" customHeight="1">
      <c r="A17" s="722" t="s">
        <v>3126</v>
      </c>
      <c r="B17" s="721">
        <f>'Part III-A-Uses of Funds'!$G$16</f>
        <v>0</v>
      </c>
      <c r="C17" s="722" t="s">
        <v>1660</v>
      </c>
      <c r="D17" s="721">
        <f>'Part III-A-Uses of Funds'!$J$16+'Part III-A-Uses of Funds'!$M$16+'Part III-A-Uses of Funds'!$P$16</f>
        <v>0</v>
      </c>
      <c r="F17" s="3414"/>
      <c r="G17" s="713"/>
      <c r="H17" s="3414"/>
      <c r="R17" s="2479">
        <v>17</v>
      </c>
    </row>
    <row r="18" spans="1:18" s="712" customFormat="1" ht="6" customHeight="1">
      <c r="A18" s="713"/>
      <c r="B18" s="714"/>
      <c r="C18" s="713"/>
      <c r="D18" s="713"/>
      <c r="F18" s="3414"/>
      <c r="G18" s="715"/>
      <c r="H18" s="3414"/>
      <c r="R18" s="2479">
        <v>18</v>
      </c>
    </row>
    <row r="19" spans="1:18" s="712" customFormat="1" ht="41.25" customHeight="1">
      <c r="A19" s="3416" t="str">
        <f>'Part III-A-Uses of Funds'!$C$17</f>
        <v>&lt;&lt; Enter description here; provide detail &amp; justification in tab Part III-b &gt;&gt;</v>
      </c>
      <c r="B19" s="3417"/>
      <c r="C19" s="3417"/>
      <c r="D19" s="3418"/>
      <c r="F19" s="3414"/>
      <c r="G19" s="713"/>
      <c r="H19" s="3414"/>
      <c r="R19" s="2478">
        <v>19</v>
      </c>
    </row>
    <row r="20" spans="1:18" s="712" customFormat="1" ht="41.25" customHeight="1">
      <c r="A20" s="3407"/>
      <c r="B20" s="3408"/>
      <c r="C20" s="3408"/>
      <c r="D20" s="3409"/>
      <c r="F20" s="3414"/>
      <c r="G20" s="713"/>
      <c r="H20" s="3414"/>
      <c r="R20" s="2478">
        <v>20</v>
      </c>
    </row>
    <row r="21" spans="1:18" s="712" customFormat="1" ht="4.5" customHeight="1">
      <c r="F21" s="3414"/>
      <c r="G21" s="713"/>
      <c r="H21" s="3414"/>
      <c r="R21" s="2478">
        <v>21</v>
      </c>
    </row>
    <row r="22" spans="1:18" s="712" customFormat="1" ht="15" customHeight="1">
      <c r="A22" s="722" t="s">
        <v>3126</v>
      </c>
      <c r="B22" s="721">
        <f>'Part III-A-Uses of Funds'!$G$17</f>
        <v>0</v>
      </c>
      <c r="C22" s="722" t="s">
        <v>1660</v>
      </c>
      <c r="D22" s="721">
        <f>'Part III-A-Uses of Funds'!$J$17+'Part III-A-Uses of Funds'!$M$17+'Part III-A-Uses of Funds'!$P$17</f>
        <v>0</v>
      </c>
      <c r="F22" s="3414"/>
      <c r="G22" s="713"/>
      <c r="H22" s="3414"/>
      <c r="R22" s="2478">
        <v>22</v>
      </c>
    </row>
    <row r="23" spans="1:18" s="712" customFormat="1" ht="6" customHeight="1">
      <c r="A23" s="713"/>
      <c r="B23" s="714"/>
      <c r="C23" s="713"/>
      <c r="D23" s="713"/>
      <c r="F23" s="3415"/>
      <c r="G23" s="715"/>
      <c r="H23" s="3415"/>
      <c r="R23" s="2478">
        <v>23</v>
      </c>
    </row>
    <row r="24" spans="1:18" s="712" customFormat="1" ht="15.75">
      <c r="A24" s="723" t="s">
        <v>3125</v>
      </c>
      <c r="B24" s="713"/>
      <c r="C24" s="713"/>
      <c r="D24" s="713"/>
      <c r="E24" s="713"/>
      <c r="F24" s="713"/>
      <c r="G24" s="713"/>
      <c r="R24" s="2478">
        <v>24</v>
      </c>
    </row>
    <row r="25" spans="1:18" s="712" customFormat="1" ht="41.25" customHeight="1">
      <c r="A25" s="3416" t="str">
        <f>'Part III-A-Uses of Funds'!$C$46</f>
        <v>&lt;&lt; Enter description here; provide detail &amp; justification in tab Part III-b &gt;&gt;</v>
      </c>
      <c r="B25" s="3417"/>
      <c r="C25" s="3417"/>
      <c r="D25" s="3418"/>
      <c r="E25" s="713"/>
      <c r="F25" s="3410"/>
      <c r="G25" s="713"/>
      <c r="H25" s="3410"/>
      <c r="R25" s="2479">
        <v>25</v>
      </c>
    </row>
    <row r="26" spans="1:18" s="712" customFormat="1" ht="41.25" customHeight="1">
      <c r="A26" s="3407"/>
      <c r="B26" s="3408"/>
      <c r="C26" s="3408"/>
      <c r="D26" s="3409"/>
      <c r="E26" s="713"/>
      <c r="F26" s="3411"/>
      <c r="G26" s="713"/>
      <c r="H26" s="3411"/>
      <c r="R26" s="2479">
        <v>26</v>
      </c>
    </row>
    <row r="27" spans="1:18" s="712" customFormat="1" ht="4.5" customHeight="1">
      <c r="A27" s="713"/>
      <c r="B27" s="713"/>
      <c r="C27" s="713"/>
      <c r="D27" s="713"/>
      <c r="E27" s="713"/>
      <c r="F27" s="3411"/>
      <c r="G27" s="713"/>
      <c r="H27" s="3411"/>
      <c r="R27" s="2479">
        <v>27</v>
      </c>
    </row>
    <row r="28" spans="1:18" s="712" customFormat="1" ht="25.5">
      <c r="A28" s="722" t="s">
        <v>3126</v>
      </c>
      <c r="B28" s="721">
        <f>'Part III-A-Uses of Funds'!$G$46</f>
        <v>0</v>
      </c>
      <c r="C28" s="722" t="s">
        <v>1660</v>
      </c>
      <c r="D28" s="721">
        <f>'Part III-A-Uses of Funds'!$J$46+'Part III-A-Uses of Funds'!$M$46+'Part III-A-Uses of Funds'!$P$46</f>
        <v>0</v>
      </c>
      <c r="E28" s="713"/>
      <c r="F28" s="3411"/>
      <c r="G28" s="713"/>
      <c r="H28" s="3411"/>
      <c r="R28" s="2478">
        <v>28</v>
      </c>
    </row>
    <row r="29" spans="1:18" s="712" customFormat="1" ht="6" customHeight="1">
      <c r="A29" s="713"/>
      <c r="B29" s="714"/>
      <c r="C29" s="713"/>
      <c r="D29" s="713"/>
      <c r="E29" s="713"/>
      <c r="F29" s="3412"/>
      <c r="G29" s="715"/>
      <c r="H29" s="3412"/>
      <c r="R29" s="2478">
        <v>29</v>
      </c>
    </row>
    <row r="30" spans="1:18" s="712" customFormat="1" ht="15.75">
      <c r="A30" s="723" t="s">
        <v>674</v>
      </c>
      <c r="B30" s="713"/>
      <c r="C30" s="713"/>
      <c r="D30" s="713"/>
      <c r="E30" s="713"/>
      <c r="F30" s="713"/>
      <c r="G30" s="713"/>
      <c r="R30" s="2478">
        <v>30</v>
      </c>
    </row>
    <row r="31" spans="1:18" s="712" customFormat="1" ht="41.25" customHeight="1">
      <c r="A31" s="3404" t="str">
        <f>'Part III-A-Uses of Funds'!$C$71</f>
        <v>&lt;&lt; Enter description here; provide detail &amp; justification in tab Part III-b &gt;&gt;</v>
      </c>
      <c r="B31" s="3405"/>
      <c r="C31" s="3405"/>
      <c r="D31" s="3406"/>
      <c r="E31" s="713"/>
      <c r="F31" s="3413"/>
      <c r="G31" s="713"/>
      <c r="H31" s="3413"/>
      <c r="R31" s="2478">
        <v>31</v>
      </c>
    </row>
    <row r="32" spans="1:18" s="712" customFormat="1" ht="41.25" customHeight="1">
      <c r="A32" s="3407"/>
      <c r="B32" s="3408"/>
      <c r="C32" s="3408"/>
      <c r="D32" s="3409"/>
      <c r="E32" s="713"/>
      <c r="F32" s="3414"/>
      <c r="G32" s="713"/>
      <c r="H32" s="3414"/>
      <c r="R32" s="2478">
        <v>32</v>
      </c>
    </row>
    <row r="33" spans="1:18" s="712" customFormat="1" ht="4.5" customHeight="1">
      <c r="A33" s="713"/>
      <c r="B33" s="713"/>
      <c r="C33" s="713"/>
      <c r="D33" s="713"/>
      <c r="E33" s="713"/>
      <c r="F33" s="3414"/>
      <c r="G33" s="713"/>
      <c r="H33" s="3414"/>
      <c r="R33" s="2478">
        <v>33</v>
      </c>
    </row>
    <row r="34" spans="1:18" s="712" customFormat="1" ht="14.25" customHeight="1">
      <c r="A34" s="722" t="s">
        <v>3126</v>
      </c>
      <c r="B34" s="721">
        <f>'Part III-A-Uses of Funds'!$G$71</f>
        <v>0</v>
      </c>
      <c r="C34" s="722" t="s">
        <v>1660</v>
      </c>
      <c r="D34" s="721">
        <f>'Part III-A-Uses of Funds'!$J$71+'Part III-A-Uses of Funds'!$M$71+'Part III-A-Uses of Funds'!$P$71</f>
        <v>0</v>
      </c>
      <c r="E34" s="713"/>
      <c r="F34" s="3414"/>
      <c r="G34" s="713"/>
      <c r="H34" s="3414"/>
      <c r="R34" s="2479">
        <v>34</v>
      </c>
    </row>
    <row r="35" spans="1:18" s="712" customFormat="1" ht="6" customHeight="1">
      <c r="D35" s="713"/>
      <c r="E35" s="713"/>
      <c r="F35" s="3414"/>
      <c r="G35" s="715"/>
      <c r="H35" s="3414"/>
      <c r="R35" s="2479">
        <v>35</v>
      </c>
    </row>
    <row r="36" spans="1:18" s="712" customFormat="1" ht="41.25" customHeight="1">
      <c r="A36" s="3404" t="str">
        <f>'Part III-A-Uses of Funds'!$C$72</f>
        <v>&lt;&lt; Enter description here; provide detail &amp; justification in tab Part III-b &gt;&gt;</v>
      </c>
      <c r="B36" s="3405"/>
      <c r="C36" s="3405"/>
      <c r="D36" s="3406"/>
      <c r="E36" s="713"/>
      <c r="F36" s="3414"/>
      <c r="G36" s="713"/>
      <c r="H36" s="3414"/>
      <c r="R36" s="2479">
        <v>36</v>
      </c>
    </row>
    <row r="37" spans="1:18" s="712" customFormat="1" ht="41.25" customHeight="1">
      <c r="A37" s="3407"/>
      <c r="B37" s="3408"/>
      <c r="C37" s="3408"/>
      <c r="D37" s="3409"/>
      <c r="E37" s="713"/>
      <c r="F37" s="3414"/>
      <c r="G37" s="713"/>
      <c r="H37" s="3414"/>
      <c r="R37" s="2478">
        <v>37</v>
      </c>
    </row>
    <row r="38" spans="1:18" s="712" customFormat="1" ht="4.5" customHeight="1">
      <c r="A38" s="713"/>
      <c r="B38" s="713"/>
      <c r="C38" s="713"/>
      <c r="D38" s="713"/>
      <c r="E38" s="713"/>
      <c r="F38" s="3414"/>
      <c r="G38" s="713"/>
      <c r="H38" s="3414"/>
      <c r="R38" s="2478">
        <v>38</v>
      </c>
    </row>
    <row r="39" spans="1:18" s="712" customFormat="1" ht="14.25" customHeight="1">
      <c r="A39" s="722" t="s">
        <v>3126</v>
      </c>
      <c r="B39" s="721">
        <f>'Part III-A-Uses of Funds'!$G$72</f>
        <v>0</v>
      </c>
      <c r="C39" s="722" t="s">
        <v>1660</v>
      </c>
      <c r="D39" s="721">
        <f>'Part III-A-Uses of Funds'!$J$72+'Part III-A-Uses of Funds'!$M$72+'Part III-A-Uses of Funds'!$P$72</f>
        <v>0</v>
      </c>
      <c r="E39" s="713"/>
      <c r="F39" s="3414"/>
      <c r="G39" s="713"/>
      <c r="H39" s="3414"/>
      <c r="R39" s="2478">
        <v>39</v>
      </c>
    </row>
    <row r="40" spans="1:18" s="712" customFormat="1" ht="6" customHeight="1">
      <c r="D40" s="713"/>
      <c r="E40" s="713"/>
      <c r="F40" s="3415"/>
      <c r="G40" s="715"/>
      <c r="H40" s="3415"/>
      <c r="R40" s="2478">
        <v>40</v>
      </c>
    </row>
    <row r="41" spans="1:18" s="712" customFormat="1" ht="15.75">
      <c r="A41" s="723" t="s">
        <v>448</v>
      </c>
      <c r="B41" s="713"/>
      <c r="C41" s="713"/>
      <c r="D41" s="713"/>
      <c r="E41" s="717"/>
      <c r="F41" s="717"/>
      <c r="G41" s="713"/>
      <c r="R41" s="2478">
        <v>41</v>
      </c>
    </row>
    <row r="42" spans="1:18" s="712" customFormat="1" ht="41.25" customHeight="1">
      <c r="A42" s="3404" t="str">
        <f>'Part III-A-Uses of Funds'!$C$85</f>
        <v>Cost Segregation Study</v>
      </c>
      <c r="B42" s="3405"/>
      <c r="C42" s="3405"/>
      <c r="D42" s="3406"/>
      <c r="F42" s="3410" t="s">
        <v>5188</v>
      </c>
      <c r="G42" s="713"/>
      <c r="H42" s="3410" t="s">
        <v>5189</v>
      </c>
      <c r="R42" s="2478">
        <v>42</v>
      </c>
    </row>
    <row r="43" spans="1:18" s="712" customFormat="1" ht="41.25" customHeight="1">
      <c r="A43" s="3407"/>
      <c r="B43" s="3408"/>
      <c r="C43" s="3408"/>
      <c r="D43" s="3409"/>
      <c r="E43" s="713"/>
      <c r="F43" s="3411"/>
      <c r="G43" s="713"/>
      <c r="H43" s="3411"/>
      <c r="R43" s="2479">
        <v>43</v>
      </c>
    </row>
    <row r="44" spans="1:18" s="712" customFormat="1" ht="4.5" customHeight="1">
      <c r="A44" s="713"/>
      <c r="B44" s="713"/>
      <c r="C44" s="713"/>
      <c r="D44" s="713"/>
      <c r="E44" s="713"/>
      <c r="F44" s="3411"/>
      <c r="G44" s="713"/>
      <c r="H44" s="3411"/>
      <c r="R44" s="2479">
        <v>44</v>
      </c>
    </row>
    <row r="45" spans="1:18" s="712" customFormat="1" ht="13.5" customHeight="1">
      <c r="A45" s="722" t="s">
        <v>3126</v>
      </c>
      <c r="B45" s="721">
        <f>'Part III-A-Uses of Funds'!$G$85</f>
        <v>7500</v>
      </c>
      <c r="C45" s="722" t="s">
        <v>1660</v>
      </c>
      <c r="D45" s="721">
        <f>'Part III-A-Uses of Funds'!$J$85+'Part III-A-Uses of Funds'!$M$85+'Part III-A-Uses of Funds'!$P$85</f>
        <v>7500</v>
      </c>
      <c r="E45" s="713"/>
      <c r="F45" s="3411"/>
      <c r="G45" s="713"/>
      <c r="H45" s="3411"/>
      <c r="R45" s="2479">
        <v>45</v>
      </c>
    </row>
    <row r="46" spans="1:18" s="712" customFormat="1" ht="6" customHeight="1">
      <c r="A46" s="713"/>
      <c r="B46" s="714"/>
      <c r="C46" s="713"/>
      <c r="D46" s="713"/>
      <c r="E46" s="713"/>
      <c r="F46" s="3412"/>
      <c r="G46" s="715"/>
      <c r="H46" s="3412"/>
      <c r="R46" s="2478">
        <v>46</v>
      </c>
    </row>
    <row r="47" spans="1:18" s="712" customFormat="1" ht="15.75">
      <c r="A47" s="723" t="s">
        <v>676</v>
      </c>
      <c r="B47" s="713"/>
      <c r="C47" s="713"/>
      <c r="D47" s="713"/>
      <c r="E47" s="713"/>
      <c r="F47" s="713"/>
      <c r="G47" s="713"/>
      <c r="R47" s="2478">
        <v>47</v>
      </c>
    </row>
    <row r="48" spans="1:18" s="712" customFormat="1" ht="41.25" customHeight="1">
      <c r="A48" s="3404" t="str">
        <f>'Part III-A-Uses of Funds'!$C$102</f>
        <v>&lt;&lt; Enter description here; provide detail &amp; justification in tab Part III-b &gt;&gt;</v>
      </c>
      <c r="B48" s="3405"/>
      <c r="C48" s="3405"/>
      <c r="D48" s="3406"/>
      <c r="F48" s="3410"/>
      <c r="G48" s="713"/>
      <c r="R48" s="2478">
        <v>48</v>
      </c>
    </row>
    <row r="49" spans="1:18" s="712" customFormat="1" ht="41.25" customHeight="1">
      <c r="A49" s="3407"/>
      <c r="B49" s="3408"/>
      <c r="C49" s="3408"/>
      <c r="D49" s="3409"/>
      <c r="E49" s="713"/>
      <c r="F49" s="3411"/>
      <c r="G49" s="713"/>
      <c r="R49" s="2478">
        <v>49</v>
      </c>
    </row>
    <row r="50" spans="1:18" s="712" customFormat="1" ht="3" customHeight="1">
      <c r="A50" s="713"/>
      <c r="B50" s="713"/>
      <c r="C50" s="713"/>
      <c r="D50" s="713"/>
      <c r="E50" s="713"/>
      <c r="F50" s="3411"/>
      <c r="G50" s="713"/>
      <c r="R50" s="2478">
        <v>50</v>
      </c>
    </row>
    <row r="51" spans="1:18" s="712" customFormat="1" ht="13.5" customHeight="1">
      <c r="A51" s="722" t="s">
        <v>3126</v>
      </c>
      <c r="B51" s="721">
        <f>'Part III-A-Uses of Funds'!$G$102</f>
        <v>0</v>
      </c>
      <c r="C51" s="716"/>
      <c r="D51" s="716"/>
      <c r="E51" s="713"/>
      <c r="F51" s="3411"/>
      <c r="G51" s="713"/>
      <c r="R51" s="2478">
        <v>51</v>
      </c>
    </row>
    <row r="52" spans="1:18" s="712" customFormat="1" ht="3.75" customHeight="1">
      <c r="A52" s="713"/>
      <c r="B52" s="713"/>
      <c r="C52" s="713"/>
      <c r="D52" s="713"/>
      <c r="E52" s="713"/>
      <c r="F52" s="3412"/>
      <c r="G52" s="715"/>
      <c r="R52" s="2479">
        <v>52</v>
      </c>
    </row>
    <row r="53" spans="1:18" s="712" customFormat="1" ht="15.75">
      <c r="A53" s="723" t="s">
        <v>3127</v>
      </c>
      <c r="B53" s="713"/>
      <c r="C53" s="713"/>
      <c r="D53" s="713"/>
      <c r="E53" s="713"/>
      <c r="F53" s="713"/>
      <c r="G53" s="713"/>
      <c r="R53" s="2479">
        <v>53</v>
      </c>
    </row>
    <row r="54" spans="1:18" s="712" customFormat="1" ht="41.25" customHeight="1">
      <c r="A54" s="3404" t="str">
        <f>'Part III-A-Uses of Funds'!$C$112</f>
        <v>&lt;&lt; Enter description here; provide detail &amp; justification in tab Part III-b &gt;&gt;</v>
      </c>
      <c r="B54" s="3405"/>
      <c r="C54" s="3405"/>
      <c r="D54" s="3406"/>
      <c r="F54" s="3413"/>
      <c r="G54" s="713"/>
      <c r="R54" s="2479">
        <v>54</v>
      </c>
    </row>
    <row r="55" spans="1:18" s="712" customFormat="1" ht="41.25" customHeight="1">
      <c r="A55" s="3407"/>
      <c r="B55" s="3408"/>
      <c r="C55" s="3408"/>
      <c r="D55" s="3409"/>
      <c r="E55" s="713"/>
      <c r="F55" s="3414"/>
      <c r="G55" s="713"/>
      <c r="R55" s="2478">
        <v>55</v>
      </c>
    </row>
    <row r="56" spans="1:18" s="712" customFormat="1" ht="3" customHeight="1">
      <c r="A56" s="713"/>
      <c r="B56" s="713"/>
      <c r="C56" s="713"/>
      <c r="D56" s="713"/>
      <c r="E56" s="713"/>
      <c r="F56" s="3414"/>
      <c r="G56" s="713"/>
      <c r="R56" s="2478">
        <v>56</v>
      </c>
    </row>
    <row r="57" spans="1:18" s="712" customFormat="1" ht="25.5">
      <c r="A57" s="722" t="s">
        <v>3126</v>
      </c>
      <c r="B57" s="721">
        <f>'Part III-A-Uses of Funds'!$G$112</f>
        <v>0</v>
      </c>
      <c r="C57" s="716"/>
      <c r="D57" s="716"/>
      <c r="E57" s="713"/>
      <c r="F57" s="3414"/>
      <c r="G57" s="713"/>
      <c r="R57" s="2478">
        <v>57</v>
      </c>
    </row>
    <row r="58" spans="1:18" s="712" customFormat="1" ht="3.75" customHeight="1">
      <c r="A58" s="711"/>
      <c r="B58" s="711"/>
      <c r="C58" s="711"/>
      <c r="D58" s="711"/>
      <c r="E58" s="711"/>
      <c r="F58" s="3414"/>
      <c r="G58" s="715"/>
      <c r="R58" s="2478">
        <v>58</v>
      </c>
    </row>
    <row r="59" spans="1:18" s="712" customFormat="1" ht="41.25" customHeight="1">
      <c r="A59" s="3404" t="str">
        <f>'Part III-A-Uses of Funds'!$C$113</f>
        <v>&lt;&lt; Enter description here; provide detail &amp; justification in tab Part III-b &gt;&gt;</v>
      </c>
      <c r="B59" s="3405"/>
      <c r="C59" s="3405"/>
      <c r="D59" s="3406"/>
      <c r="F59" s="3414"/>
      <c r="G59" s="713"/>
      <c r="R59" s="2478">
        <v>59</v>
      </c>
    </row>
    <row r="60" spans="1:18" s="712" customFormat="1" ht="41.25" customHeight="1">
      <c r="A60" s="3407"/>
      <c r="B60" s="3408"/>
      <c r="C60" s="3408"/>
      <c r="D60" s="3409"/>
      <c r="E60" s="713"/>
      <c r="F60" s="3414"/>
      <c r="G60" s="713"/>
      <c r="R60" s="2478">
        <v>60</v>
      </c>
    </row>
    <row r="61" spans="1:18" s="712" customFormat="1" ht="3" customHeight="1">
      <c r="A61" s="713"/>
      <c r="B61" s="713"/>
      <c r="C61" s="713"/>
      <c r="D61" s="713"/>
      <c r="E61" s="713"/>
      <c r="F61" s="3414"/>
      <c r="G61" s="713"/>
      <c r="R61" s="2479">
        <v>61</v>
      </c>
    </row>
    <row r="62" spans="1:18" s="712" customFormat="1" ht="25.5">
      <c r="A62" s="722" t="s">
        <v>3126</v>
      </c>
      <c r="B62" s="721">
        <f>'Part III-A-Uses of Funds'!$G$113</f>
        <v>0</v>
      </c>
      <c r="C62" s="716"/>
      <c r="D62" s="716"/>
      <c r="E62" s="713"/>
      <c r="F62" s="3414"/>
      <c r="G62" s="713"/>
      <c r="R62" s="2479">
        <v>62</v>
      </c>
    </row>
    <row r="63" spans="1:18" s="712" customFormat="1" ht="3.75" customHeight="1">
      <c r="A63" s="711"/>
      <c r="B63" s="711"/>
      <c r="C63" s="711"/>
      <c r="D63" s="711"/>
      <c r="E63" s="711"/>
      <c r="F63" s="3415"/>
      <c r="G63" s="715"/>
      <c r="R63" s="2479">
        <v>63</v>
      </c>
    </row>
    <row r="64" spans="1:18" s="712" customFormat="1" ht="15.75">
      <c r="A64" s="723" t="s">
        <v>3128</v>
      </c>
      <c r="B64" s="713"/>
      <c r="C64" s="713"/>
      <c r="D64" s="713"/>
      <c r="E64" s="713"/>
      <c r="F64" s="713"/>
      <c r="G64" s="713"/>
      <c r="R64" s="2478">
        <v>64</v>
      </c>
    </row>
    <row r="65" spans="1:18" s="712" customFormat="1" ht="41.25" customHeight="1">
      <c r="A65" s="3404" t="str">
        <f>'Part III-A-Uses of Funds'!$C$119</f>
        <v>&lt;&lt; Enter description here; provide detail &amp; justification in tab Part III-b &gt;&gt;</v>
      </c>
      <c r="B65" s="3405"/>
      <c r="C65" s="3405"/>
      <c r="D65" s="3406"/>
      <c r="F65" s="3410"/>
      <c r="G65" s="713"/>
      <c r="R65" s="2478">
        <v>65</v>
      </c>
    </row>
    <row r="66" spans="1:18" s="712" customFormat="1" ht="41.25" customHeight="1">
      <c r="A66" s="3407"/>
      <c r="B66" s="3408"/>
      <c r="C66" s="3408"/>
      <c r="D66" s="3409"/>
      <c r="E66" s="713"/>
      <c r="F66" s="3411"/>
      <c r="G66" s="713"/>
      <c r="R66" s="2478">
        <v>66</v>
      </c>
    </row>
    <row r="67" spans="1:18" s="712" customFormat="1" ht="3" customHeight="1">
      <c r="A67" s="713"/>
      <c r="B67" s="713"/>
      <c r="C67" s="713"/>
      <c r="D67" s="713"/>
      <c r="E67" s="713"/>
      <c r="F67" s="3411"/>
      <c r="G67" s="713"/>
      <c r="R67" s="2478">
        <v>67</v>
      </c>
    </row>
    <row r="68" spans="1:18" s="712" customFormat="1" ht="25.5">
      <c r="A68" s="722" t="s">
        <v>3126</v>
      </c>
      <c r="B68" s="721">
        <f>'Part III-A-Uses of Funds'!$G$119</f>
        <v>0</v>
      </c>
      <c r="C68" s="716"/>
      <c r="D68" s="716"/>
      <c r="E68" s="713"/>
      <c r="F68" s="3411"/>
      <c r="G68" s="713"/>
      <c r="R68" s="2478">
        <v>68</v>
      </c>
    </row>
    <row r="69" spans="1:18" s="712" customFormat="1" ht="3.75" customHeight="1">
      <c r="A69" s="713"/>
      <c r="B69" s="714"/>
      <c r="C69" s="713"/>
      <c r="D69" s="713"/>
      <c r="E69" s="713"/>
      <c r="F69" s="3412"/>
      <c r="G69" s="715"/>
      <c r="R69" s="2478">
        <v>69</v>
      </c>
    </row>
    <row r="70" spans="1:18" s="712" customFormat="1" ht="15.75">
      <c r="A70" s="723" t="s">
        <v>1229</v>
      </c>
      <c r="B70" s="713"/>
      <c r="C70" s="713"/>
      <c r="D70" s="713"/>
      <c r="E70" s="713"/>
      <c r="F70" s="713"/>
      <c r="G70" s="713"/>
      <c r="R70" s="2479">
        <v>70</v>
      </c>
    </row>
    <row r="71" spans="1:18" s="712" customFormat="1" ht="41.25" customHeight="1">
      <c r="A71" s="3404" t="str">
        <f>'Part III-A-Uses of Funds'!$C$134</f>
        <v>&lt;&lt; Enter description here; provide detail &amp; justification in tab Part III-b &gt;&gt;</v>
      </c>
      <c r="B71" s="3405"/>
      <c r="C71" s="3405"/>
      <c r="D71" s="3406"/>
      <c r="F71" s="3410"/>
      <c r="G71" s="713"/>
      <c r="H71" s="3410"/>
      <c r="R71" s="2479">
        <v>71</v>
      </c>
    </row>
    <row r="72" spans="1:18" s="712" customFormat="1" ht="41.25" customHeight="1">
      <c r="A72" s="3407"/>
      <c r="B72" s="3408"/>
      <c r="C72" s="3408"/>
      <c r="D72" s="3409"/>
      <c r="E72" s="713"/>
      <c r="F72" s="3411"/>
      <c r="G72" s="713"/>
      <c r="H72" s="3411"/>
      <c r="R72" s="2479">
        <v>72</v>
      </c>
    </row>
    <row r="73" spans="1:18" s="712" customFormat="1" ht="4.5" customHeight="1">
      <c r="A73" s="713"/>
      <c r="B73" s="713"/>
      <c r="C73" s="713"/>
      <c r="D73" s="713"/>
      <c r="E73" s="713"/>
      <c r="F73" s="3411"/>
      <c r="G73" s="713"/>
      <c r="H73" s="3411"/>
      <c r="R73" s="2478">
        <v>73</v>
      </c>
    </row>
    <row r="74" spans="1:18" s="712" customFormat="1" ht="12.75" customHeight="1">
      <c r="A74" s="722" t="s">
        <v>3126</v>
      </c>
      <c r="B74" s="721">
        <f>'Part III-A-Uses of Funds'!$G$134</f>
        <v>0</v>
      </c>
      <c r="C74" s="722" t="s">
        <v>1660</v>
      </c>
      <c r="D74" s="721">
        <f>'Part III-A-Uses of Funds'!$J$134+'Part III-A-Uses of Funds'!$M$134+'Part III-A-Uses of Funds'!$P$134</f>
        <v>0</v>
      </c>
      <c r="E74" s="713"/>
      <c r="F74" s="3411"/>
      <c r="G74" s="713"/>
      <c r="H74" s="3411"/>
      <c r="R74" s="2478">
        <v>74</v>
      </c>
    </row>
    <row r="75" spans="1:18" s="712" customFormat="1" ht="6" customHeight="1">
      <c r="A75" s="713"/>
      <c r="B75" s="714"/>
      <c r="C75" s="713"/>
      <c r="D75" s="713"/>
      <c r="E75" s="713"/>
      <c r="F75" s="3412"/>
      <c r="G75" s="715"/>
      <c r="H75" s="3412"/>
      <c r="R75" s="2478">
        <v>75</v>
      </c>
    </row>
    <row r="76" spans="1:18" s="712" customFormat="1" ht="15.75">
      <c r="A76" s="723" t="s">
        <v>3129</v>
      </c>
      <c r="B76" s="714"/>
      <c r="C76" s="713"/>
      <c r="D76" s="713"/>
      <c r="E76" s="713"/>
      <c r="F76" s="713"/>
      <c r="G76" s="715"/>
      <c r="R76" s="2478">
        <v>76</v>
      </c>
    </row>
    <row r="77" spans="1:18" s="712" customFormat="1" ht="41.25" customHeight="1">
      <c r="A77" s="3404" t="str">
        <f>'Part III-A-Uses of Funds'!$C$143</f>
        <v>&lt;&lt; Enter description here; provide detail &amp; justification in tab Part III-b &gt;&gt;</v>
      </c>
      <c r="B77" s="3405"/>
      <c r="C77" s="3405"/>
      <c r="D77" s="3406"/>
      <c r="F77" s="3410"/>
      <c r="G77" s="713"/>
      <c r="H77" s="3410"/>
      <c r="R77" s="2478">
        <v>77</v>
      </c>
    </row>
    <row r="78" spans="1:18" s="712" customFormat="1" ht="41.25" customHeight="1">
      <c r="A78" s="3407"/>
      <c r="B78" s="3408"/>
      <c r="C78" s="3408"/>
      <c r="D78" s="3409"/>
      <c r="E78" s="713"/>
      <c r="F78" s="3411"/>
      <c r="G78" s="713"/>
      <c r="H78" s="3411"/>
      <c r="R78" s="2478">
        <v>78</v>
      </c>
    </row>
    <row r="79" spans="1:18" s="712" customFormat="1" ht="4.5" customHeight="1">
      <c r="A79" s="713"/>
      <c r="B79" s="713"/>
      <c r="C79" s="713"/>
      <c r="D79" s="713"/>
      <c r="E79" s="713"/>
      <c r="F79" s="3411"/>
      <c r="G79" s="713"/>
      <c r="H79" s="3411"/>
      <c r="R79" s="2479">
        <v>79</v>
      </c>
    </row>
    <row r="80" spans="1:18" s="712" customFormat="1" ht="12.75" customHeight="1">
      <c r="A80" s="722" t="s">
        <v>3126</v>
      </c>
      <c r="B80" s="721">
        <f>'Part III-A-Uses of Funds'!$G$143</f>
        <v>0</v>
      </c>
      <c r="C80" s="722" t="s">
        <v>1660</v>
      </c>
      <c r="D80" s="721">
        <f>'Part III-A-Uses of Funds'!$J$143+'Part III-A-Uses of Funds'!$M$143+'Part III-A-Uses of Funds'!$P$143</f>
        <v>0</v>
      </c>
      <c r="E80" s="718"/>
      <c r="F80" s="3411"/>
      <c r="G80" s="713"/>
      <c r="H80" s="3411"/>
      <c r="R80" s="2479">
        <v>80</v>
      </c>
    </row>
    <row r="81" spans="4:18" s="712" customFormat="1" ht="6" customHeight="1">
      <c r="D81" s="719"/>
      <c r="E81" s="720"/>
      <c r="F81" s="3412"/>
      <c r="G81" s="715"/>
      <c r="H81" s="3412"/>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07rWMkELA2KGJS0RDgRArLZL7qRlJsgWLQMkhpjBAvYmFmF32HRV9pw0bXJCTnoG3EaTf1bNS0Hu2TTirwGDTQ==" saltValue="W1q1mZOTKkFse+ofVoiovg=="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L20" sqref="L20"/>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47" t="str">
        <f>CONCATENATE("PART FOUR - UTILITY ALLOWANCES","  -  ",'Part I-Project Identification'!$O$7," ",'Part I-Project Identification'!$F$26,", ",'Part I-Project Identification'!F27,", ",'Part I-Project Identification'!J27," County")</f>
        <v>PART FOUR - UTILITY ALLOWANCES  -  2024-0 Lewis Crossing, Atlanta, Fulton County</v>
      </c>
      <c r="B1" s="3448"/>
      <c r="C1" s="3448"/>
      <c r="D1" s="3448"/>
      <c r="E1" s="3448"/>
      <c r="F1" s="3448"/>
      <c r="G1" s="3448"/>
      <c r="H1" s="3448"/>
      <c r="I1" s="3448"/>
      <c r="J1" s="3448"/>
      <c r="K1" s="3448"/>
      <c r="L1" s="3448"/>
      <c r="M1" s="3448"/>
      <c r="N1" s="4"/>
      <c r="O1" s="4"/>
      <c r="P1" s="4"/>
      <c r="Q1" s="4"/>
      <c r="AA1" s="2480">
        <v>1</v>
      </c>
    </row>
    <row r="2" spans="1:27" s="6" customFormat="1" ht="7.5" customHeight="1">
      <c r="AA2" s="2480">
        <v>2</v>
      </c>
    </row>
    <row r="3" spans="1:27" s="6" customFormat="1" ht="12.75" customHeight="1">
      <c r="B3" s="3449" t="str">
        <f>'Part I-Project Identification'!$A$6</f>
        <v>2024 May 7</v>
      </c>
      <c r="C3" s="3449"/>
      <c r="D3" s="3449"/>
      <c r="E3" s="3449"/>
      <c r="F3" s="4" t="s">
        <v>4628</v>
      </c>
      <c r="I3" s="3450" t="s">
        <v>1664</v>
      </c>
      <c r="J3" s="3451"/>
      <c r="AA3" s="2480">
        <v>3</v>
      </c>
    </row>
    <row r="4" spans="1:27" s="6" customFormat="1" ht="6" customHeight="1">
      <c r="AA4" s="2480">
        <v>4</v>
      </c>
    </row>
    <row r="5" spans="1:27">
      <c r="A5" s="206" t="s">
        <v>4394</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2" t="s">
        <v>5190</v>
      </c>
      <c r="J7" s="3441"/>
      <c r="K7" s="3441"/>
      <c r="L7" s="3441"/>
      <c r="M7" s="3442"/>
      <c r="O7" s="826"/>
      <c r="P7" s="826"/>
      <c r="Q7" s="826"/>
      <c r="R7" s="826"/>
      <c r="S7" s="826"/>
      <c r="T7" s="826"/>
      <c r="U7" s="826"/>
      <c r="V7" s="392"/>
      <c r="W7" s="392"/>
      <c r="X7" s="392"/>
      <c r="Y7" s="392"/>
      <c r="AA7" s="2480">
        <v>7</v>
      </c>
    </row>
    <row r="8" spans="1:27" s="6" customFormat="1" ht="13.35" customHeight="1">
      <c r="A8" s="10"/>
      <c r="F8" s="1" t="s">
        <v>592</v>
      </c>
      <c r="G8" s="1"/>
      <c r="H8" s="26"/>
      <c r="I8" s="3443">
        <v>45108</v>
      </c>
      <c r="J8" s="3444"/>
      <c r="K8" s="5" t="s">
        <v>504</v>
      </c>
      <c r="L8" s="3445" t="s">
        <v>5191</v>
      </c>
      <c r="M8" s="3446"/>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9" t="s">
        <v>566</v>
      </c>
      <c r="G10" s="3439"/>
      <c r="I10" s="3439" t="s">
        <v>193</v>
      </c>
      <c r="J10" s="3439"/>
      <c r="K10" s="3439"/>
      <c r="L10" s="3439"/>
      <c r="M10" s="3439"/>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7" t="s">
        <v>5192</v>
      </c>
      <c r="E12" s="3438"/>
      <c r="F12" s="207" t="s">
        <v>415</v>
      </c>
      <c r="G12" s="207"/>
      <c r="H12" s="791"/>
      <c r="I12" s="1203"/>
      <c r="J12" s="1203">
        <v>14</v>
      </c>
      <c r="K12" s="1203">
        <v>17</v>
      </c>
      <c r="L12" s="1203">
        <v>19</v>
      </c>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v>7</v>
      </c>
      <c r="K13" s="1204">
        <v>10</v>
      </c>
      <c r="L13" s="1205">
        <v>13</v>
      </c>
      <c r="M13" s="1205"/>
      <c r="O13" s="3427" t="s">
        <v>3192</v>
      </c>
      <c r="P13" s="3427"/>
      <c r="Q13" s="3427"/>
      <c r="AA13" s="2480">
        <v>13</v>
      </c>
    </row>
    <row r="14" spans="1:27" s="6" customFormat="1" ht="12" customHeight="1">
      <c r="B14" s="1212" t="s">
        <v>1491</v>
      </c>
      <c r="C14" s="1213"/>
      <c r="D14" s="3425" t="s">
        <v>1489</v>
      </c>
      <c r="E14" s="3426"/>
      <c r="F14" s="208" t="s">
        <v>415</v>
      </c>
      <c r="G14" s="208"/>
      <c r="H14" s="203"/>
      <c r="I14" s="1204"/>
      <c r="J14" s="1204">
        <v>16</v>
      </c>
      <c r="K14" s="1204">
        <v>20</v>
      </c>
      <c r="L14" s="1205">
        <v>25</v>
      </c>
      <c r="M14" s="1205"/>
      <c r="O14" s="3427"/>
      <c r="P14" s="3427"/>
      <c r="Q14" s="3427"/>
      <c r="AA14" s="2480">
        <v>14</v>
      </c>
    </row>
    <row r="15" spans="1:27" s="6" customFormat="1" ht="12" customHeight="1">
      <c r="B15" s="1214" t="s">
        <v>439</v>
      </c>
      <c r="C15" s="1215"/>
      <c r="D15" s="1214" t="s">
        <v>1489</v>
      </c>
      <c r="E15" s="204"/>
      <c r="F15" s="208" t="s">
        <v>415</v>
      </c>
      <c r="G15" s="208"/>
      <c r="H15" s="789"/>
      <c r="I15" s="1204"/>
      <c r="J15" s="1204">
        <v>12</v>
      </c>
      <c r="K15" s="1204">
        <v>19</v>
      </c>
      <c r="L15" s="1205">
        <v>28</v>
      </c>
      <c r="M15" s="1205"/>
      <c r="O15" s="3427"/>
      <c r="P15" s="3427"/>
      <c r="Q15" s="3427"/>
      <c r="AA15" s="2480">
        <v>15</v>
      </c>
    </row>
    <row r="16" spans="1:27" s="6" customFormat="1" ht="12" customHeight="1">
      <c r="B16" s="1216" t="s">
        <v>3186</v>
      </c>
      <c r="C16" s="1211"/>
      <c r="D16" s="1210" t="s">
        <v>1489</v>
      </c>
      <c r="E16" s="788"/>
      <c r="F16" s="208"/>
      <c r="G16" s="208"/>
      <c r="H16" s="790"/>
      <c r="I16" s="1204"/>
      <c r="J16" s="1204"/>
      <c r="K16" s="1204"/>
      <c r="L16" s="1205"/>
      <c r="M16" s="1205"/>
      <c r="O16" s="3427"/>
      <c r="P16" s="3427"/>
      <c r="Q16" s="3427"/>
      <c r="AA16" s="2480">
        <v>16</v>
      </c>
    </row>
    <row r="17" spans="1:27" s="6" customFormat="1" ht="12" customHeight="1">
      <c r="B17" s="1216" t="s">
        <v>3187</v>
      </c>
      <c r="C17" s="1211"/>
      <c r="D17" s="1210" t="s">
        <v>1489</v>
      </c>
      <c r="E17" s="788"/>
      <c r="F17" s="208"/>
      <c r="G17" s="208"/>
      <c r="H17" s="790"/>
      <c r="I17" s="1204"/>
      <c r="J17" s="1204"/>
      <c r="K17" s="1204"/>
      <c r="L17" s="1205"/>
      <c r="M17" s="1205"/>
      <c r="O17" s="3427"/>
      <c r="P17" s="3427"/>
      <c r="Q17" s="3427"/>
      <c r="AA17" s="2480">
        <v>17</v>
      </c>
    </row>
    <row r="18" spans="1:27" s="6" customFormat="1" ht="12" customHeight="1">
      <c r="B18" s="1217" t="s">
        <v>3188</v>
      </c>
      <c r="C18" s="1213"/>
      <c r="D18" s="1212" t="s">
        <v>1489</v>
      </c>
      <c r="E18" s="788"/>
      <c r="F18" s="208" t="s">
        <v>415</v>
      </c>
      <c r="G18" s="208"/>
      <c r="H18" s="203"/>
      <c r="I18" s="1204"/>
      <c r="J18" s="1204">
        <v>44</v>
      </c>
      <c r="K18" s="1204">
        <v>55</v>
      </c>
      <c r="L18" s="1205">
        <v>65</v>
      </c>
      <c r="M18" s="1205"/>
      <c r="O18" s="3427"/>
      <c r="P18" s="3427"/>
      <c r="Q18" s="3427"/>
      <c r="AA18" s="2480">
        <v>18</v>
      </c>
    </row>
    <row r="19" spans="1:27" s="6" customFormat="1" ht="12" customHeight="1">
      <c r="B19" s="1214" t="s">
        <v>1290</v>
      </c>
      <c r="C19" s="1215"/>
      <c r="D19" s="1220" t="s">
        <v>2993</v>
      </c>
      <c r="E19" s="1202" t="s">
        <v>2642</v>
      </c>
      <c r="F19" s="208" t="s">
        <v>415</v>
      </c>
      <c r="G19" s="208"/>
      <c r="H19" s="789"/>
      <c r="I19" s="1204"/>
      <c r="J19" s="1204">
        <v>75</v>
      </c>
      <c r="K19" s="1204">
        <v>117</v>
      </c>
      <c r="L19" s="1205">
        <v>164</v>
      </c>
      <c r="M19" s="1205"/>
      <c r="O19" s="3427"/>
      <c r="P19" s="3427"/>
      <c r="Q19" s="3427"/>
      <c r="AA19" s="2480">
        <v>19</v>
      </c>
    </row>
    <row r="20" spans="1:27" s="6" customFormat="1" ht="12" customHeight="1">
      <c r="B20" s="1218" t="s">
        <v>1710</v>
      </c>
      <c r="C20" s="1219"/>
      <c r="D20" s="205"/>
      <c r="E20" s="187"/>
      <c r="F20" s="208"/>
      <c r="G20" s="208" t="s">
        <v>415</v>
      </c>
      <c r="H20" s="790"/>
      <c r="I20" s="1204"/>
      <c r="J20" s="1204"/>
      <c r="K20" s="1204"/>
      <c r="L20" s="1205"/>
      <c r="M20" s="1205"/>
      <c r="O20" s="3427"/>
      <c r="P20" s="3427"/>
      <c r="Q20" s="3427"/>
      <c r="AA20" s="2480">
        <v>20</v>
      </c>
    </row>
    <row r="21" spans="1:27" s="6" customFormat="1" ht="12" customHeight="1">
      <c r="B21" s="1218" t="s">
        <v>689</v>
      </c>
      <c r="C21" s="3428"/>
      <c r="D21" s="3429"/>
      <c r="E21" s="3430"/>
      <c r="F21" s="209"/>
      <c r="G21" s="209"/>
      <c r="H21" s="792"/>
      <c r="I21" s="1206"/>
      <c r="J21" s="1206"/>
      <c r="K21" s="1206"/>
      <c r="L21" s="1207"/>
      <c r="M21" s="1207"/>
      <c r="O21" s="3427"/>
      <c r="P21" s="3427"/>
      <c r="Q21" s="3427"/>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168</v>
      </c>
      <c r="K22" s="119">
        <f>IF(SUM(K12:K21)=0,0,IF(OR($D12="&lt;&lt;Select Fuel &gt;&gt;",$D13="&lt;&lt;Select Fuel &gt;&gt;",$D14="&lt;&lt;Select Fuel &gt;&gt;"),"Select Fuel",IF($E19="&lt;Select&gt;","Submeter?",SUM(K12:K21))))</f>
        <v>238</v>
      </c>
      <c r="L22" s="119">
        <f>IF(SUM(L12:L21)=0,0,IF(OR($D12="&lt;&lt;Select Fuel &gt;&gt;",$D13="&lt;&lt;Select Fuel &gt;&gt;",$D14="&lt;&lt;Select Fuel &gt;&gt;"),"Select Fuel",IF($E19="&lt;Select&gt;","Submeter?",SUM(L12:L21))))</f>
        <v>314</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0"/>
      <c r="J24" s="3441"/>
      <c r="K24" s="3441"/>
      <c r="L24" s="3441"/>
      <c r="M24" s="3442"/>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3"/>
      <c r="J25" s="3444"/>
      <c r="K25" s="5" t="s">
        <v>504</v>
      </c>
      <c r="L25" s="3445"/>
      <c r="M25" s="3446"/>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39" t="s">
        <v>566</v>
      </c>
      <c r="G27" s="3439"/>
      <c r="I27" s="3439" t="s">
        <v>193</v>
      </c>
      <c r="J27" s="3439"/>
      <c r="K27" s="3439"/>
      <c r="L27" s="3439"/>
      <c r="M27" s="3439"/>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7" t="s">
        <v>1684</v>
      </c>
      <c r="E29" s="3438"/>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7" t="s">
        <v>3192</v>
      </c>
      <c r="P31" s="3427"/>
      <c r="Q31" s="3427"/>
      <c r="AA31" s="2480">
        <v>31</v>
      </c>
    </row>
    <row r="32" spans="1:27" s="6" customFormat="1" ht="12" customHeight="1">
      <c r="B32" s="1214" t="s">
        <v>439</v>
      </c>
      <c r="C32" s="1215"/>
      <c r="D32" s="1214" t="s">
        <v>1489</v>
      </c>
      <c r="E32" s="204"/>
      <c r="F32" s="208"/>
      <c r="G32" s="208"/>
      <c r="H32" s="789"/>
      <c r="I32" s="1204"/>
      <c r="J32" s="1204"/>
      <c r="K32" s="1204"/>
      <c r="L32" s="1205"/>
      <c r="M32" s="1205"/>
      <c r="O32" s="3427"/>
      <c r="P32" s="3427"/>
      <c r="Q32" s="3427"/>
      <c r="AA32" s="2480">
        <v>32</v>
      </c>
    </row>
    <row r="33" spans="1:27" s="6" customFormat="1" ht="12" customHeight="1">
      <c r="B33" s="1216" t="s">
        <v>3186</v>
      </c>
      <c r="C33" s="1211"/>
      <c r="D33" s="1210" t="s">
        <v>1489</v>
      </c>
      <c r="E33" s="788"/>
      <c r="F33" s="208"/>
      <c r="G33" s="208"/>
      <c r="H33" s="790"/>
      <c r="I33" s="1204"/>
      <c r="J33" s="1204"/>
      <c r="K33" s="1204"/>
      <c r="L33" s="1205"/>
      <c r="M33" s="1205"/>
      <c r="O33" s="3427"/>
      <c r="P33" s="3427"/>
      <c r="Q33" s="3427"/>
      <c r="AA33" s="2480">
        <v>33</v>
      </c>
    </row>
    <row r="34" spans="1:27" s="6" customFormat="1" ht="12" customHeight="1">
      <c r="B34" s="1216" t="s">
        <v>3187</v>
      </c>
      <c r="C34" s="1211"/>
      <c r="D34" s="1210" t="s">
        <v>1489</v>
      </c>
      <c r="E34" s="788"/>
      <c r="F34" s="208"/>
      <c r="G34" s="208"/>
      <c r="H34" s="790"/>
      <c r="I34" s="1204"/>
      <c r="J34" s="1204"/>
      <c r="K34" s="1204"/>
      <c r="L34" s="1205"/>
      <c r="M34" s="1205"/>
      <c r="O34" s="3427"/>
      <c r="P34" s="3427"/>
      <c r="Q34" s="3427"/>
      <c r="AA34" s="2480">
        <v>34</v>
      </c>
    </row>
    <row r="35" spans="1:27" s="6" customFormat="1" ht="12" customHeight="1">
      <c r="B35" s="1217" t="s">
        <v>3188</v>
      </c>
      <c r="C35" s="1213"/>
      <c r="D35" s="1212" t="s">
        <v>1489</v>
      </c>
      <c r="E35" s="788"/>
      <c r="F35" s="208"/>
      <c r="G35" s="208"/>
      <c r="H35" s="203"/>
      <c r="I35" s="1204"/>
      <c r="J35" s="1204"/>
      <c r="K35" s="1204"/>
      <c r="L35" s="1205"/>
      <c r="M35" s="1205"/>
      <c r="O35" s="3427"/>
      <c r="P35" s="3427"/>
      <c r="Q35" s="3427"/>
      <c r="AA35" s="2480">
        <v>35</v>
      </c>
    </row>
    <row r="36" spans="1:27" s="6" customFormat="1" ht="12" customHeight="1">
      <c r="B36" s="1214" t="s">
        <v>1290</v>
      </c>
      <c r="C36" s="1215"/>
      <c r="D36" s="1220" t="s">
        <v>2993</v>
      </c>
      <c r="E36" s="1202" t="s">
        <v>194</v>
      </c>
      <c r="F36" s="208"/>
      <c r="G36" s="208"/>
      <c r="H36" s="789"/>
      <c r="I36" s="1204"/>
      <c r="J36" s="1204"/>
      <c r="K36" s="1204"/>
      <c r="L36" s="1205"/>
      <c r="M36" s="1205"/>
      <c r="O36" s="3427"/>
      <c r="P36" s="3427"/>
      <c r="Q36" s="3427"/>
      <c r="AA36" s="2480">
        <v>36</v>
      </c>
    </row>
    <row r="37" spans="1:27" s="6" customFormat="1" ht="12" customHeight="1">
      <c r="B37" s="1218" t="s">
        <v>1710</v>
      </c>
      <c r="C37" s="1219"/>
      <c r="D37" s="205"/>
      <c r="E37" s="187"/>
      <c r="F37" s="208"/>
      <c r="G37" s="208"/>
      <c r="H37" s="790"/>
      <c r="I37" s="1204"/>
      <c r="J37" s="1204"/>
      <c r="K37" s="1204"/>
      <c r="L37" s="1205"/>
      <c r="M37" s="1205"/>
      <c r="O37" s="3427"/>
      <c r="P37" s="3427"/>
      <c r="Q37" s="3427"/>
      <c r="AA37" s="2480">
        <v>37</v>
      </c>
    </row>
    <row r="38" spans="1:27" s="6" customFormat="1" ht="12" customHeight="1">
      <c r="B38" s="1218" t="s">
        <v>689</v>
      </c>
      <c r="C38" s="3428"/>
      <c r="D38" s="3429"/>
      <c r="E38" s="3430"/>
      <c r="F38" s="209"/>
      <c r="G38" s="209"/>
      <c r="H38" s="792"/>
      <c r="I38" s="1206"/>
      <c r="J38" s="1206"/>
      <c r="K38" s="1206"/>
      <c r="L38" s="1207"/>
      <c r="M38" s="1207"/>
      <c r="O38" s="3427"/>
      <c r="P38" s="3427"/>
      <c r="Q38" s="3427"/>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7"/>
      <c r="P39" s="3427"/>
      <c r="Q39" s="3427"/>
      <c r="AA39" s="2480">
        <v>39</v>
      </c>
    </row>
    <row r="40" spans="1:27" ht="6" customHeight="1">
      <c r="A40" s="6"/>
      <c r="AA40" s="2480">
        <v>40</v>
      </c>
    </row>
    <row r="41" spans="1:27" s="6" customFormat="1">
      <c r="B41" s="44" t="s">
        <v>2994</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1"/>
      <c r="C43" s="3432"/>
      <c r="D43" s="3432"/>
      <c r="E43" s="3432"/>
      <c r="F43" s="3432"/>
      <c r="G43" s="3432"/>
      <c r="H43" s="3432"/>
      <c r="I43" s="3432"/>
      <c r="J43" s="3432"/>
      <c r="K43" s="3432"/>
      <c r="L43" s="3432"/>
      <c r="M43" s="3433"/>
      <c r="N43"/>
      <c r="O43" s="2908" t="s">
        <v>2445</v>
      </c>
      <c r="P43" s="2908"/>
      <c r="Q43" s="2908"/>
      <c r="R43" s="2908"/>
      <c r="S43" s="2908"/>
      <c r="AA43" s="2480">
        <v>43</v>
      </c>
    </row>
    <row r="44" spans="1:27" s="6" customFormat="1" ht="3" customHeight="1">
      <c r="M44"/>
      <c r="N44"/>
      <c r="O44" s="2908"/>
      <c r="P44" s="2908"/>
      <c r="Q44" s="2908"/>
      <c r="R44" s="2908"/>
      <c r="S44" s="2908"/>
      <c r="AA44" s="2480">
        <v>44</v>
      </c>
    </row>
    <row r="45" spans="1:27" s="6" customFormat="1" ht="12" customHeight="1">
      <c r="A45" s="10"/>
      <c r="B45" s="10" t="s">
        <v>1706</v>
      </c>
      <c r="M45"/>
      <c r="N45"/>
      <c r="O45" s="2908"/>
      <c r="P45" s="2908"/>
      <c r="Q45" s="2908"/>
      <c r="R45" s="2908"/>
      <c r="S45" s="2908"/>
      <c r="AA45" s="2480">
        <v>45</v>
      </c>
    </row>
    <row r="46" spans="1:27" s="6" customFormat="1" ht="24.75" customHeight="1">
      <c r="B46" s="3434"/>
      <c r="C46" s="3435"/>
      <c r="D46" s="3435"/>
      <c r="E46" s="3435"/>
      <c r="F46" s="3435"/>
      <c r="G46" s="3435"/>
      <c r="H46" s="3435"/>
      <c r="I46" s="3435"/>
      <c r="J46" s="3435"/>
      <c r="K46" s="3435"/>
      <c r="L46" s="3435"/>
      <c r="M46" s="3436"/>
      <c r="N46"/>
      <c r="O46" s="2908"/>
      <c r="P46" s="2908"/>
      <c r="Q46" s="2908"/>
      <c r="R46" s="2908"/>
      <c r="S46" s="2908"/>
      <c r="AA46" s="2480">
        <v>46</v>
      </c>
    </row>
    <row r="47" spans="1:27">
      <c r="AA47" s="2480">
        <v>47</v>
      </c>
    </row>
  </sheetData>
  <sheetProtection algorithmName="SHA-512" hashValue="7WY0UDKkxcIO1md3HHoY0oRUSHTOXPIfMNS3ryRbTJ9RsepAMKgsEdDUxcYG7ebDvhadAQSRAV8gi3mpt7y2jA==" saltValue="eJD8iFjI5lspk/0Nd3i1wA=="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5939E5-E635-449D-9A0C-FE2F489847FB}"/>
</file>

<file path=customXml/itemProps2.xml><?xml version="1.0" encoding="utf-8"?>
<ds:datastoreItem xmlns:ds="http://schemas.openxmlformats.org/officeDocument/2006/customXml" ds:itemID="{740B74B4-AB9D-47E8-BB17-2362BB10F389}"/>
</file>

<file path=customXml/itemProps3.xml><?xml version="1.0" encoding="utf-8"?>
<ds:datastoreItem xmlns:ds="http://schemas.openxmlformats.org/officeDocument/2006/customXml" ds:itemID="{904828F5-D9A3-443F-A82C-47B64A9416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2024-04-27T01:04:55Z</cp:lastPrinted>
  <dcterms:created xsi:type="dcterms:W3CDTF">2005-09-15T20:51:37Z</dcterms:created>
  <dcterms:modified xsi:type="dcterms:W3CDTF">2024-05-17T23:40:10Z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