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3.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comments1.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1.xml" ContentType="application/vnd.openxmlformats-officedocument.spreadsheetml.comments+xml"/>
  <Override PartName="/xl/comments10.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4 GA Applications\Pateville Estates\CORE\"/>
    </mc:Choice>
  </mc:AlternateContent>
  <workbookProtection workbookAlgorithmName="SHA-512" workbookHashValue="27YzOxkvADGlkxl2GOo7NrRWO1OUD2jyiSR2++iWCpD328qGMcE9P6DXvoKhXHv1xcBedXm5OqyDZigSBQgf5Q==" workbookSaltValue="UFMmFzDmFJn76+QyFB76sw==" workbookSpinCount="100000" lockStructure="1"/>
  <bookViews>
    <workbookView xWindow="-105" yWindow="-105" windowWidth="23250" windowHeight="12570" tabRatio="935" firstSheet="1" activeTab="12"/>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1" i="113" l="1"/>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B800" i="121" s="1"/>
  <c r="K764" i="121"/>
  <c r="J764" i="121"/>
  <c r="I764" i="121"/>
  <c r="H764" i="121"/>
  <c r="G764" i="121"/>
  <c r="B761" i="121"/>
  <c r="B729"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I656" i="121"/>
  <c r="H656" i="121"/>
  <c r="H658" i="121" s="1"/>
  <c r="L653" i="121"/>
  <c r="L654" i="121" s="1"/>
  <c r="K653" i="121"/>
  <c r="J653" i="121"/>
  <c r="I653" i="121"/>
  <c r="H653" i="121"/>
  <c r="L652" i="121"/>
  <c r="K652" i="121"/>
  <c r="J652" i="121"/>
  <c r="J654" i="121" s="1"/>
  <c r="I652" i="121"/>
  <c r="H652" i="121"/>
  <c r="H654" i="121" s="1"/>
  <c r="Q648" i="121"/>
  <c r="P648" i="121"/>
  <c r="O648" i="121"/>
  <c r="N648" i="121"/>
  <c r="M648" i="121"/>
  <c r="L648" i="121"/>
  <c r="K648" i="121"/>
  <c r="K649" i="121" s="1"/>
  <c r="J648" i="121"/>
  <c r="I648" i="121"/>
  <c r="H648" i="121"/>
  <c r="Q647" i="121"/>
  <c r="P647" i="121"/>
  <c r="O647" i="121"/>
  <c r="N647" i="121"/>
  <c r="M647" i="121"/>
  <c r="M649" i="121" s="1"/>
  <c r="L647" i="121"/>
  <c r="K647" i="121"/>
  <c r="J647" i="121"/>
  <c r="I647" i="121"/>
  <c r="H647" i="121"/>
  <c r="Q644" i="121"/>
  <c r="P644" i="121"/>
  <c r="O644" i="121"/>
  <c r="O645" i="121" s="1"/>
  <c r="N644" i="121"/>
  <c r="M644" i="121"/>
  <c r="L644" i="121"/>
  <c r="K644" i="121"/>
  <c r="J644" i="121"/>
  <c r="I644" i="121"/>
  <c r="H644" i="121"/>
  <c r="H645" i="121" s="1"/>
  <c r="Q643" i="121"/>
  <c r="Q645" i="121" s="1"/>
  <c r="P643" i="121"/>
  <c r="O643" i="121"/>
  <c r="N643" i="121"/>
  <c r="M643" i="121"/>
  <c r="L643" i="121"/>
  <c r="K643" i="121"/>
  <c r="J643" i="121"/>
  <c r="I643" i="121"/>
  <c r="I645" i="121" s="1"/>
  <c r="H643" i="121"/>
  <c r="Q639" i="121"/>
  <c r="P639" i="121"/>
  <c r="O639" i="121"/>
  <c r="N639" i="121"/>
  <c r="M639" i="121"/>
  <c r="L639" i="121"/>
  <c r="K639" i="121"/>
  <c r="K640" i="121" s="1"/>
  <c r="J639" i="121"/>
  <c r="I639" i="121"/>
  <c r="H639" i="121"/>
  <c r="Q638" i="121"/>
  <c r="P638" i="121"/>
  <c r="O638" i="121"/>
  <c r="N638" i="121"/>
  <c r="M638" i="121"/>
  <c r="M640" i="121" s="1"/>
  <c r="L638" i="121"/>
  <c r="K638" i="121"/>
  <c r="J638" i="121"/>
  <c r="I638" i="121"/>
  <c r="H638" i="121"/>
  <c r="Q635" i="121"/>
  <c r="P635" i="121"/>
  <c r="O635" i="121"/>
  <c r="O636" i="121" s="1"/>
  <c r="N635" i="121"/>
  <c r="N636" i="121" s="1"/>
  <c r="M635" i="121"/>
  <c r="L635" i="121"/>
  <c r="K635" i="121"/>
  <c r="J635" i="121"/>
  <c r="I635" i="121"/>
  <c r="H635" i="121"/>
  <c r="Q634" i="121"/>
  <c r="Q636" i="121" s="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M631" i="121" s="1"/>
  <c r="L629" i="121"/>
  <c r="K629" i="121"/>
  <c r="J629" i="121"/>
  <c r="I629" i="121"/>
  <c r="H629" i="121"/>
  <c r="I625" i="121"/>
  <c r="J625" i="121"/>
  <c r="K625" i="121"/>
  <c r="L625" i="121"/>
  <c r="M625" i="121"/>
  <c r="N625" i="121"/>
  <c r="O625" i="121"/>
  <c r="P625" i="121"/>
  <c r="Q625" i="121"/>
  <c r="I626" i="121"/>
  <c r="I627" i="121" s="1"/>
  <c r="J626" i="121"/>
  <c r="K626" i="12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LV451" i="121" s="1"/>
  <c r="O451" i="121"/>
  <c r="P451" i="121"/>
  <c r="Q451" i="121"/>
  <c r="N452" i="121"/>
  <c r="O452" i="121"/>
  <c r="P452" i="121"/>
  <c r="Q452" i="121"/>
  <c r="N453" i="121"/>
  <c r="FQ453" i="121" s="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BW459" i="121" s="1"/>
  <c r="O459" i="121"/>
  <c r="P459" i="121"/>
  <c r="Q459" i="121"/>
  <c r="N460" i="121"/>
  <c r="O460" i="121"/>
  <c r="P460" i="121"/>
  <c r="Q460" i="121"/>
  <c r="N461" i="121"/>
  <c r="O461" i="121"/>
  <c r="MN461" i="121" s="1"/>
  <c r="P461" i="121"/>
  <c r="Q461" i="121"/>
  <c r="N462" i="121"/>
  <c r="O462" i="121"/>
  <c r="P462" i="121"/>
  <c r="Q462" i="121"/>
  <c r="MG462" i="121" s="1"/>
  <c r="N463" i="121"/>
  <c r="O463" i="121"/>
  <c r="LA463" i="121" s="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ID471" i="121" s="1"/>
  <c r="P471" i="121"/>
  <c r="Q471" i="121"/>
  <c r="N472" i="121"/>
  <c r="O472" i="121"/>
  <c r="P472" i="121"/>
  <c r="Q472" i="121"/>
  <c r="N473" i="121"/>
  <c r="O473" i="121"/>
  <c r="P473" i="121"/>
  <c r="Q473" i="121"/>
  <c r="N474" i="121"/>
  <c r="O474" i="121"/>
  <c r="P474" i="121"/>
  <c r="Q474" i="121"/>
  <c r="N475" i="121"/>
  <c r="AN475" i="121" s="1"/>
  <c r="O475" i="121"/>
  <c r="IC475" i="121" s="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LE449" i="121" s="1"/>
  <c r="P449" i="121"/>
  <c r="LX449" i="121" s="1"/>
  <c r="O449" i="121"/>
  <c r="N449" i="121"/>
  <c r="K450" i="121"/>
  <c r="K451" i="121"/>
  <c r="K452" i="121"/>
  <c r="K453" i="121"/>
  <c r="K454" i="121"/>
  <c r="DP454" i="121" s="1"/>
  <c r="K455" i="121"/>
  <c r="CU455" i="121" s="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MS452" i="121" s="1"/>
  <c r="F452" i="121"/>
  <c r="G452" i="121"/>
  <c r="H452" i="121"/>
  <c r="I452" i="121"/>
  <c r="C453" i="121"/>
  <c r="D453" i="121"/>
  <c r="E453" i="121"/>
  <c r="F453" i="121"/>
  <c r="G453" i="121"/>
  <c r="H453" i="121"/>
  <c r="I453" i="121"/>
  <c r="C454" i="121"/>
  <c r="D454" i="121"/>
  <c r="E454" i="121"/>
  <c r="F454" i="121"/>
  <c r="G454" i="121"/>
  <c r="H454" i="121"/>
  <c r="L454" i="121" s="1"/>
  <c r="M454" i="121" s="1"/>
  <c r="I454" i="121"/>
  <c r="C455" i="121"/>
  <c r="D455" i="121"/>
  <c r="E455" i="121"/>
  <c r="F455" i="121"/>
  <c r="G455" i="121"/>
  <c r="H455" i="121"/>
  <c r="I455" i="121"/>
  <c r="C456" i="121"/>
  <c r="D456" i="121"/>
  <c r="E456" i="121"/>
  <c r="F456" i="121"/>
  <c r="G456" i="121"/>
  <c r="H456" i="121"/>
  <c r="I456" i="121"/>
  <c r="C457" i="121"/>
  <c r="LI457" i="121" s="1"/>
  <c r="D457" i="121"/>
  <c r="E457" i="121"/>
  <c r="F457" i="121"/>
  <c r="G457" i="121"/>
  <c r="H457" i="121"/>
  <c r="I457" i="121"/>
  <c r="C458" i="121"/>
  <c r="FB458" i="121" s="1"/>
  <c r="D458" i="121"/>
  <c r="E458" i="121"/>
  <c r="F458" i="121"/>
  <c r="G458" i="121"/>
  <c r="H458" i="121"/>
  <c r="I458" i="121"/>
  <c r="C459" i="121"/>
  <c r="D459" i="121"/>
  <c r="E459" i="121"/>
  <c r="MT459" i="121" s="1"/>
  <c r="F459" i="121"/>
  <c r="G459" i="121"/>
  <c r="H459" i="121"/>
  <c r="I459" i="121"/>
  <c r="C460" i="121"/>
  <c r="D460" i="121"/>
  <c r="E460" i="121"/>
  <c r="F460" i="121"/>
  <c r="G460" i="121"/>
  <c r="H460" i="121"/>
  <c r="I460" i="121"/>
  <c r="C461" i="121"/>
  <c r="D461" i="121"/>
  <c r="E461" i="121"/>
  <c r="F461" i="121"/>
  <c r="G461" i="121"/>
  <c r="H461" i="121"/>
  <c r="I461" i="121"/>
  <c r="C462" i="121"/>
  <c r="D462" i="121"/>
  <c r="E462" i="121"/>
  <c r="MO462" i="121" s="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MH449" i="121" s="1"/>
  <c r="D449" i="121"/>
  <c r="C449" i="121"/>
  <c r="B450" i="121"/>
  <c r="B451" i="121"/>
  <c r="B452" i="121"/>
  <c r="B453" i="121"/>
  <c r="B454" i="121"/>
  <c r="B455" i="121"/>
  <c r="B456" i="121"/>
  <c r="B457" i="121"/>
  <c r="B458" i="121"/>
  <c r="B459" i="121"/>
  <c r="B460" i="121"/>
  <c r="B461" i="121"/>
  <c r="B462" i="121"/>
  <c r="MA462" i="121" s="1"/>
  <c r="B463" i="121"/>
  <c r="B464" i="121"/>
  <c r="HE464" i="121" s="1"/>
  <c r="B465" i="121"/>
  <c r="B466" i="121"/>
  <c r="B467" i="121"/>
  <c r="B468" i="121"/>
  <c r="B469" i="121"/>
  <c r="B470" i="121"/>
  <c r="B471" i="121"/>
  <c r="B472" i="121"/>
  <c r="B473" i="121"/>
  <c r="B474" i="121"/>
  <c r="B475" i="121"/>
  <c r="B476" i="121"/>
  <c r="B477" i="121"/>
  <c r="B478" i="121"/>
  <c r="B479" i="121"/>
  <c r="B480" i="121"/>
  <c r="B481" i="121"/>
  <c r="B482" i="121"/>
  <c r="B483" i="121"/>
  <c r="B484" i="121"/>
  <c r="B485" i="121"/>
  <c r="B486" i="121"/>
  <c r="LY486" i="121" s="1"/>
  <c r="B449" i="121"/>
  <c r="AY449" i="121" s="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L429" i="121" s="1"/>
  <c r="K419" i="121"/>
  <c r="J419" i="121"/>
  <c r="I419" i="121"/>
  <c r="J402" i="121"/>
  <c r="K402" i="121"/>
  <c r="L402" i="121"/>
  <c r="M402" i="121"/>
  <c r="J403" i="121"/>
  <c r="J412" i="121" s="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J301" i="121" s="1"/>
  <c r="E218" i="121" s="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S254" i="121" s="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M237" i="121" s="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M202" i="121" s="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P151" i="121" s="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S660" i="121"/>
  <c r="S655" i="121"/>
  <c r="T651" i="121"/>
  <c r="Q649" i="121"/>
  <c r="I649" i="121"/>
  <c r="S646" i="121"/>
  <c r="M645" i="121"/>
  <c r="K645" i="121"/>
  <c r="T642" i="121"/>
  <c r="O640" i="121"/>
  <c r="S637" i="121"/>
  <c r="M636" i="121"/>
  <c r="K636" i="121"/>
  <c r="I636" i="121"/>
  <c r="T633" i="121"/>
  <c r="Q631" i="121"/>
  <c r="I631" i="121"/>
  <c r="S628" i="121"/>
  <c r="P627" i="121"/>
  <c r="N627" i="121"/>
  <c r="M627" i="121"/>
  <c r="L627" i="121"/>
  <c r="S624" i="121"/>
  <c r="S623" i="121"/>
  <c r="S621" i="121"/>
  <c r="S598" i="121"/>
  <c r="S588" i="121"/>
  <c r="S587" i="121"/>
  <c r="L587" i="121"/>
  <c r="S568" i="121"/>
  <c r="S550" i="121"/>
  <c r="S541" i="121"/>
  <c r="S540" i="121"/>
  <c r="S530" i="121"/>
  <c r="S507" i="121"/>
  <c r="S491" i="121"/>
  <c r="MU487" i="121"/>
  <c r="ML486" i="121"/>
  <c r="MD486" i="121"/>
  <c r="MC486" i="121"/>
  <c r="MB486" i="121"/>
  <c r="MA486" i="121"/>
  <c r="LZ486" i="121"/>
  <c r="LV486" i="121"/>
  <c r="LU486" i="121"/>
  <c r="LT486" i="121"/>
  <c r="LS486" i="121"/>
  <c r="LR486" i="121"/>
  <c r="LN486" i="121"/>
  <c r="LM486" i="121"/>
  <c r="LL486" i="121"/>
  <c r="LK486" i="121"/>
  <c r="LJ486" i="121"/>
  <c r="ID486" i="121"/>
  <c r="IC486" i="121"/>
  <c r="HZ486" i="121"/>
  <c r="HY486" i="121"/>
  <c r="HX486" i="121"/>
  <c r="HT486" i="121"/>
  <c r="HS486" i="121"/>
  <c r="HR486" i="121"/>
  <c r="HQ486" i="121"/>
  <c r="HP486" i="121"/>
  <c r="HL486" i="121"/>
  <c r="HK486" i="121"/>
  <c r="HJ486" i="121"/>
  <c r="HI486" i="121"/>
  <c r="HH486" i="121"/>
  <c r="HD486" i="121"/>
  <c r="HC486" i="121"/>
  <c r="HB486" i="121"/>
  <c r="HA486" i="121"/>
  <c r="GZ486" i="121"/>
  <c r="GV486" i="121"/>
  <c r="GU486" i="121"/>
  <c r="GT486" i="121"/>
  <c r="GS486" i="121"/>
  <c r="GR486" i="121"/>
  <c r="GN486" i="121"/>
  <c r="GM486" i="121"/>
  <c r="GL486" i="121"/>
  <c r="GK486" i="121"/>
  <c r="GJ486" i="121"/>
  <c r="GF486" i="121"/>
  <c r="GE486" i="121"/>
  <c r="GD486" i="121"/>
  <c r="GC486" i="121"/>
  <c r="GB486" i="121"/>
  <c r="FW486" i="121"/>
  <c r="FV486" i="121"/>
  <c r="FU486" i="121"/>
  <c r="FT486" i="121"/>
  <c r="FP486" i="121"/>
  <c r="FO486" i="121"/>
  <c r="FN486" i="121"/>
  <c r="FM486" i="121"/>
  <c r="FL486" i="121"/>
  <c r="FH486" i="121"/>
  <c r="FG486" i="121"/>
  <c r="FF486" i="121"/>
  <c r="FE486" i="121"/>
  <c r="FD486" i="121"/>
  <c r="EZ486" i="121"/>
  <c r="EY486" i="121"/>
  <c r="EX486" i="121"/>
  <c r="EW486" i="121"/>
  <c r="EV486" i="121"/>
  <c r="ER486" i="121"/>
  <c r="EQ486" i="121"/>
  <c r="EP486" i="121"/>
  <c r="EO486" i="121"/>
  <c r="EN486" i="121"/>
  <c r="EJ486" i="121"/>
  <c r="EI486" i="121"/>
  <c r="EH486" i="121"/>
  <c r="EG486" i="121"/>
  <c r="EF486" i="121"/>
  <c r="EE486" i="121"/>
  <c r="ED486" i="121"/>
  <c r="EA486" i="121"/>
  <c r="DZ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0" i="121"/>
  <c r="MN480" i="121"/>
  <c r="IC480" i="121"/>
  <c r="IB480" i="121"/>
  <c r="IA480" i="121"/>
  <c r="GF480" i="121"/>
  <c r="GE480" i="121"/>
  <c r="EH480" i="121"/>
  <c r="EG480" i="121"/>
  <c r="EF480"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GB477" i="121"/>
  <c r="ED477"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IB475" i="121"/>
  <c r="IA475" i="121"/>
  <c r="AH475" i="121"/>
  <c r="MO472" i="121"/>
  <c r="MN472" i="121"/>
  <c r="MM472" i="121"/>
  <c r="ML472" i="121"/>
  <c r="MK472" i="121"/>
  <c r="KG472" i="121"/>
  <c r="ID472" i="121"/>
  <c r="IC472" i="121"/>
  <c r="IB472" i="121"/>
  <c r="IA472" i="121"/>
  <c r="HZ472" i="121"/>
  <c r="GF472" i="121"/>
  <c r="GE472" i="121"/>
  <c r="GD472" i="121"/>
  <c r="GC472" i="121"/>
  <c r="GB472" i="121"/>
  <c r="GA472" i="121"/>
  <c r="FZ472" i="121"/>
  <c r="FW472" i="121"/>
  <c r="EH472" i="121"/>
  <c r="EG472" i="121"/>
  <c r="EF472" i="121"/>
  <c r="EE472" i="121"/>
  <c r="ED472" i="121"/>
  <c r="MO471" i="121"/>
  <c r="KE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ID469" i="121"/>
  <c r="IC469" i="121"/>
  <c r="IB469" i="121"/>
  <c r="IA469"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KW467" i="121"/>
  <c r="KB467" i="121"/>
  <c r="IC467" i="121"/>
  <c r="IB467" i="121"/>
  <c r="IA467" i="121"/>
  <c r="HZ467" i="121"/>
  <c r="BK467" i="121"/>
  <c r="AU467" i="121"/>
  <c r="AZ466" i="121"/>
  <c r="AM466" i="121"/>
  <c r="MS464" i="121"/>
  <c r="MO464" i="121"/>
  <c r="MN464" i="121"/>
  <c r="MM464" i="121"/>
  <c r="ML464" i="121"/>
  <c r="MK464" i="121"/>
  <c r="LE464" i="121"/>
  <c r="KO464" i="121"/>
  <c r="JY464" i="121"/>
  <c r="JI464" i="121"/>
  <c r="IS464" i="121"/>
  <c r="ID464" i="121"/>
  <c r="IC464" i="121"/>
  <c r="IB464" i="121"/>
  <c r="IA464" i="121"/>
  <c r="HZ464" i="121"/>
  <c r="GF464" i="121"/>
  <c r="GE464" i="121"/>
  <c r="GD464" i="121"/>
  <c r="GC464" i="121"/>
  <c r="GB464" i="121"/>
  <c r="GA464" i="121"/>
  <c r="FZ464" i="121"/>
  <c r="FY464" i="121"/>
  <c r="FX464" i="121"/>
  <c r="FW464" i="121"/>
  <c r="EM464" i="121"/>
  <c r="EH464" i="121"/>
  <c r="EG464" i="121"/>
  <c r="EF464" i="121"/>
  <c r="EE464" i="121"/>
  <c r="ED464" i="121"/>
  <c r="DH464" i="121"/>
  <c r="ML463" i="121"/>
  <c r="IB463" i="121"/>
  <c r="MC462" i="121"/>
  <c r="MB462" i="121"/>
  <c r="LU462" i="121"/>
  <c r="LM462" i="121"/>
  <c r="LL462" i="121"/>
  <c r="JA462" i="121"/>
  <c r="IN462" i="121"/>
  <c r="IF462" i="121"/>
  <c r="IC462" i="121"/>
  <c r="IB462" i="121"/>
  <c r="IA462" i="121"/>
  <c r="HZ462" i="121"/>
  <c r="HS462" i="121"/>
  <c r="HR462" i="121"/>
  <c r="HK462" i="121"/>
  <c r="GT462" i="121"/>
  <c r="GM462" i="121"/>
  <c r="GL462" i="121"/>
  <c r="GF462" i="121"/>
  <c r="GE462" i="121"/>
  <c r="GD462" i="121"/>
  <c r="GC462" i="121"/>
  <c r="GB462" i="121"/>
  <c r="FV462" i="121"/>
  <c r="FO462" i="121"/>
  <c r="FN462" i="121"/>
  <c r="FG462" i="121"/>
  <c r="FF462" i="121"/>
  <c r="EY462" i="121"/>
  <c r="EX462" i="121"/>
  <c r="EQ462" i="121"/>
  <c r="EP462" i="121"/>
  <c r="EI462" i="121"/>
  <c r="EH462" i="121"/>
  <c r="EG462" i="121"/>
  <c r="EF462" i="121"/>
  <c r="EE462" i="121"/>
  <c r="ED462" i="121"/>
  <c r="BG462" i="121"/>
  <c r="BF462" i="121"/>
  <c r="AY462" i="121"/>
  <c r="AX462" i="121"/>
  <c r="AP462" i="121"/>
  <c r="AI462" i="121"/>
  <c r="AH462" i="121"/>
  <c r="AA462" i="121"/>
  <c r="Z462" i="121"/>
  <c r="MO461" i="121"/>
  <c r="IN461" i="121"/>
  <c r="MA460" i="121"/>
  <c r="LZ460" i="121"/>
  <c r="LQ460" i="121"/>
  <c r="LP460" i="121"/>
  <c r="LK460" i="121"/>
  <c r="LJ460" i="121"/>
  <c r="LI460" i="121"/>
  <c r="LH460" i="121"/>
  <c r="IK460" i="121"/>
  <c r="IC460" i="121"/>
  <c r="IA460" i="121"/>
  <c r="HZ460" i="121"/>
  <c r="HS460" i="121"/>
  <c r="HR460" i="121"/>
  <c r="HM460" i="121"/>
  <c r="HL460" i="121"/>
  <c r="HC460" i="121"/>
  <c r="HB460" i="121"/>
  <c r="GW460" i="121"/>
  <c r="GV460" i="121"/>
  <c r="GM460" i="121"/>
  <c r="GL460" i="121"/>
  <c r="GG460" i="121"/>
  <c r="GF460" i="121"/>
  <c r="GE460" i="121"/>
  <c r="GD460" i="121"/>
  <c r="FY460" i="121"/>
  <c r="FX460" i="121"/>
  <c r="FW460" i="121"/>
  <c r="FV460" i="121"/>
  <c r="FQ460" i="121"/>
  <c r="FP460" i="121"/>
  <c r="FO460" i="121"/>
  <c r="FN460" i="121"/>
  <c r="FI460" i="121"/>
  <c r="FH460" i="121"/>
  <c r="FG460" i="121"/>
  <c r="FF460" i="121"/>
  <c r="FA460" i="121"/>
  <c r="EY460" i="121"/>
  <c r="EX460" i="121"/>
  <c r="ES460" i="121"/>
  <c r="ER460" i="121"/>
  <c r="EQ460" i="121"/>
  <c r="EP460" i="121"/>
  <c r="EK460" i="121"/>
  <c r="EJ460" i="121"/>
  <c r="EI460" i="121"/>
  <c r="EH460" i="121"/>
  <c r="EC460" i="121"/>
  <c r="EB460" i="121"/>
  <c r="EA460" i="121"/>
  <c r="DZ460" i="121"/>
  <c r="DU460" i="121"/>
  <c r="DT460" i="121"/>
  <c r="DS460" i="121"/>
  <c r="DR460" i="121"/>
  <c r="DM460" i="121"/>
  <c r="DL460" i="121"/>
  <c r="DK460" i="121"/>
  <c r="DJ460" i="121"/>
  <c r="DE460" i="121"/>
  <c r="DD460" i="121"/>
  <c r="DC460" i="121"/>
  <c r="DB460" i="121"/>
  <c r="CW460" i="121"/>
  <c r="CV460" i="121"/>
  <c r="CU460" i="121"/>
  <c r="CT460" i="121"/>
  <c r="CO460" i="121"/>
  <c r="CN460" i="121"/>
  <c r="CM460" i="121"/>
  <c r="CL460" i="121"/>
  <c r="CG460" i="121"/>
  <c r="CF460" i="121"/>
  <c r="CE460" i="121"/>
  <c r="CD460" i="121"/>
  <c r="BY460" i="121"/>
  <c r="BX460" i="121"/>
  <c r="BW460" i="121"/>
  <c r="BV460" i="121"/>
  <c r="BQ460" i="121"/>
  <c r="BP460" i="121"/>
  <c r="BO460" i="121"/>
  <c r="BN460" i="121"/>
  <c r="BI460" i="121"/>
  <c r="BH460" i="121"/>
  <c r="BG460" i="121"/>
  <c r="BF460" i="121"/>
  <c r="BA460" i="121"/>
  <c r="AZ460" i="121"/>
  <c r="AY460" i="121"/>
  <c r="AX460" i="121"/>
  <c r="AS460" i="121"/>
  <c r="AR460" i="121"/>
  <c r="AQ460" i="121"/>
  <c r="AP460" i="121"/>
  <c r="AK460" i="121"/>
  <c r="AJ460" i="121"/>
  <c r="AI460" i="121"/>
  <c r="AH460" i="121"/>
  <c r="AC460" i="121"/>
  <c r="AB460" i="121"/>
  <c r="AA460" i="121"/>
  <c r="Z460" i="121"/>
  <c r="KX459" i="121"/>
  <c r="KR459" i="121"/>
  <c r="KB459" i="121"/>
  <c r="JW459" i="121"/>
  <c r="JG459" i="121"/>
  <c r="JB459" i="121"/>
  <c r="IL459" i="121"/>
  <c r="IF459" i="121"/>
  <c r="IB459" i="121"/>
  <c r="IA459" i="121"/>
  <c r="FD459" i="121"/>
  <c r="EL459" i="121"/>
  <c r="X459" i="121"/>
  <c r="LE458" i="121"/>
  <c r="DS458" i="121"/>
  <c r="DD458" i="121"/>
  <c r="GB457"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GF456" i="121"/>
  <c r="GE456" i="121"/>
  <c r="GD456" i="121"/>
  <c r="GC456" i="121"/>
  <c r="GB456" i="121"/>
  <c r="GA456" i="121"/>
  <c r="FZ456" i="121"/>
  <c r="FY456" i="121"/>
  <c r="FX456" i="121"/>
  <c r="FW456" i="121"/>
  <c r="EH456" i="121"/>
  <c r="EG456" i="121"/>
  <c r="EF456" i="121"/>
  <c r="EE456" i="121"/>
  <c r="ED456" i="121"/>
  <c r="BY456" i="121"/>
  <c r="MS455" i="121"/>
  <c r="MO455" i="121"/>
  <c r="MN455" i="121"/>
  <c r="MM455" i="121"/>
  <c r="ML455" i="121"/>
  <c r="MK455" i="121"/>
  <c r="M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X455" i="121"/>
  <c r="GJ455" i="121"/>
  <c r="FU455" i="121"/>
  <c r="EI455" i="121"/>
  <c r="DT455" i="121"/>
  <c r="BV455" i="121"/>
  <c r="AJ455" i="121"/>
  <c r="X455" i="12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DA454" i="121"/>
  <c r="CX454" i="121"/>
  <c r="BR454" i="121"/>
  <c r="BP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MT453" i="121"/>
  <c r="MQ453" i="121"/>
  <c r="MP453" i="121"/>
  <c r="MO453" i="121"/>
  <c r="MN453" i="121"/>
  <c r="MM453" i="121"/>
  <c r="ML453" i="121"/>
  <c r="MK453" i="121"/>
  <c r="MI453" i="121"/>
  <c r="MH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M453" i="121"/>
  <c r="GC453" i="121"/>
  <c r="DQ453" i="121"/>
  <c r="CC453"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LS451" i="121"/>
  <c r="LN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F451" i="121"/>
  <c r="GZ451" i="121"/>
  <c r="GH451" i="121"/>
  <c r="GF451" i="121"/>
  <c r="FJ451" i="121"/>
  <c r="FG451" i="121"/>
  <c r="EO451" i="121"/>
  <c r="EL451" i="121"/>
  <c r="DT451" i="121"/>
  <c r="DQ451" i="121"/>
  <c r="CY451" i="121"/>
  <c r="CV451" i="121"/>
  <c r="CF451" i="121"/>
  <c r="CC451" i="121"/>
  <c r="BM451" i="121"/>
  <c r="BL451" i="121"/>
  <c r="BA451" i="121"/>
  <c r="AX451" i="121"/>
  <c r="AK451" i="121"/>
  <c r="AJ451" i="121"/>
  <c r="L451" i="121"/>
  <c r="MQ450" i="121"/>
  <c r="MB450" i="121"/>
  <c r="MA450" i="121"/>
  <c r="LL450" i="121"/>
  <c r="LK450" i="121"/>
  <c r="KR450" i="121"/>
  <c r="KM450" i="121"/>
  <c r="JL450" i="121"/>
  <c r="JH450" i="121"/>
  <c r="IJ450" i="121"/>
  <c r="ID450" i="121"/>
  <c r="HS450" i="121"/>
  <c r="HR450" i="121"/>
  <c r="HC450" i="121"/>
  <c r="HB450" i="121"/>
  <c r="GP450" i="121"/>
  <c r="GN450" i="121"/>
  <c r="FZ450" i="121"/>
  <c r="FY450" i="121"/>
  <c r="FM450" i="121"/>
  <c r="FI450" i="121"/>
  <c r="EX450" i="121"/>
  <c r="EW450" i="121"/>
  <c r="EH450" i="121"/>
  <c r="EG450" i="121"/>
  <c r="DU450" i="121"/>
  <c r="DS450" i="121"/>
  <c r="DE450" i="121"/>
  <c r="DD450" i="121"/>
  <c r="CR450" i="121"/>
  <c r="CN450" i="121"/>
  <c r="CC450" i="121"/>
  <c r="CB450" i="121"/>
  <c r="BM450" i="121"/>
  <c r="BL450" i="121"/>
  <c r="AZ450" i="121"/>
  <c r="AX450" i="121"/>
  <c r="AJ450" i="121"/>
  <c r="AI450" i="121"/>
  <c r="L450" i="121"/>
  <c r="M450" i="121" s="1"/>
  <c r="MR449" i="121"/>
  <c r="MF449" i="121"/>
  <c r="LP449" i="121"/>
  <c r="LD449" i="121"/>
  <c r="LC449" i="121"/>
  <c r="KS449" i="121"/>
  <c r="KO449" i="121"/>
  <c r="KE449" i="121"/>
  <c r="KD449" i="121"/>
  <c r="JT449" i="121"/>
  <c r="JR449" i="121"/>
  <c r="JH449" i="121"/>
  <c r="JE449" i="121"/>
  <c r="IT449" i="121"/>
  <c r="IS449" i="121"/>
  <c r="II449" i="121"/>
  <c r="IH449" i="121"/>
  <c r="ID449" i="121"/>
  <c r="IC449" i="121"/>
  <c r="IB449" i="121"/>
  <c r="IA449" i="121"/>
  <c r="HZ449" i="121"/>
  <c r="HX449" i="121"/>
  <c r="HJ449" i="121"/>
  <c r="GX449" i="121"/>
  <c r="GM449" i="121"/>
  <c r="GF449" i="121"/>
  <c r="GE449" i="121"/>
  <c r="GD449" i="121"/>
  <c r="GC449" i="121"/>
  <c r="GB449" i="121"/>
  <c r="FQ449" i="121"/>
  <c r="FP449" i="121"/>
  <c r="FF449" i="121"/>
  <c r="FE449" i="121"/>
  <c r="ET449" i="121"/>
  <c r="ES449" i="121"/>
  <c r="EH449" i="121"/>
  <c r="EG449" i="121"/>
  <c r="EF449" i="121"/>
  <c r="EE449" i="121"/>
  <c r="ED449" i="121"/>
  <c r="DV449" i="121"/>
  <c r="DK449" i="121"/>
  <c r="CW449" i="121"/>
  <c r="CL449" i="121"/>
  <c r="CB449" i="121"/>
  <c r="BQ449" i="121"/>
  <c r="BH449" i="121"/>
  <c r="BG449" i="121"/>
  <c r="AX449" i="121"/>
  <c r="AV449" i="121"/>
  <c r="AL449" i="121"/>
  <c r="AK449" i="121"/>
  <c r="AC449" i="121"/>
  <c r="AB449" i="121"/>
  <c r="L449" i="121"/>
  <c r="L444" i="121"/>
  <c r="T442" i="121"/>
  <c r="A440" i="121"/>
  <c r="T440" i="121" s="1"/>
  <c r="B393" i="121"/>
  <c r="A391" i="121"/>
  <c r="S301" i="121"/>
  <c r="S299" i="121"/>
  <c r="S297" i="121"/>
  <c r="J292" i="121"/>
  <c r="N289" i="121"/>
  <c r="J289" i="121"/>
  <c r="P254" i="121"/>
  <c r="M254" i="121"/>
  <c r="J254" i="121"/>
  <c r="G254" i="121"/>
  <c r="O251" i="121"/>
  <c r="P245" i="121"/>
  <c r="J245" i="121"/>
  <c r="J241" i="121"/>
  <c r="O238" i="121"/>
  <c r="S237" i="121"/>
  <c r="J237" i="121"/>
  <c r="E237" i="121"/>
  <c r="F235" i="121"/>
  <c r="O231" i="121"/>
  <c r="F231" i="121"/>
  <c r="A229" i="121"/>
  <c r="O225" i="121"/>
  <c r="A222" i="121"/>
  <c r="F221" i="121"/>
  <c r="E219" i="121"/>
  <c r="B216" i="121"/>
  <c r="O214" i="121"/>
  <c r="O206" i="121"/>
  <c r="O197" i="121"/>
  <c r="O184" i="121"/>
  <c r="M183" i="121"/>
  <c r="A181" i="121"/>
  <c r="O170" i="121"/>
  <c r="O164" i="121"/>
  <c r="O155" i="121"/>
  <c r="S151" i="121"/>
  <c r="F150" i="121"/>
  <c r="D150" i="121"/>
  <c r="F149" i="121"/>
  <c r="D149" i="121"/>
  <c r="F148" i="121"/>
  <c r="D148" i="121"/>
  <c r="O147" i="121"/>
  <c r="O139" i="121"/>
  <c r="P138" i="121"/>
  <c r="M138" i="121"/>
  <c r="J138" i="121"/>
  <c r="O135" i="121"/>
  <c r="F130" i="121"/>
  <c r="O129" i="121"/>
  <c r="O118" i="121"/>
  <c r="D116" i="121"/>
  <c r="A112" i="121"/>
  <c r="L47" i="121"/>
  <c r="O9" i="121"/>
  <c r="LO456" i="121" l="1"/>
  <c r="LG456" i="121"/>
  <c r="FO456" i="121"/>
  <c r="FG456" i="121"/>
  <c r="EY456" i="121"/>
  <c r="EQ456" i="121"/>
  <c r="EI456" i="121"/>
  <c r="EA456" i="121"/>
  <c r="DS456" i="121"/>
  <c r="DK456" i="121"/>
  <c r="DC456" i="121"/>
  <c r="CU456" i="121"/>
  <c r="CM456" i="121"/>
  <c r="CE456" i="121"/>
  <c r="BW456" i="121"/>
  <c r="BO456" i="121"/>
  <c r="BG456" i="121"/>
  <c r="AY456" i="121"/>
  <c r="AQ456" i="121"/>
  <c r="AI456" i="121"/>
  <c r="AA456" i="121"/>
  <c r="LN456" i="121"/>
  <c r="FV456" i="121"/>
  <c r="FN456" i="121"/>
  <c r="FF456" i="121"/>
  <c r="EX456" i="121"/>
  <c r="EP456" i="121"/>
  <c r="DZ456" i="121"/>
  <c r="DR456" i="121"/>
  <c r="DJ456" i="121"/>
  <c r="DB456" i="121"/>
  <c r="CT456" i="121"/>
  <c r="CL456" i="121"/>
  <c r="CD456" i="121"/>
  <c r="BV456" i="121"/>
  <c r="BN456" i="121"/>
  <c r="BF456" i="121"/>
  <c r="AX456" i="121"/>
  <c r="AP456" i="121"/>
  <c r="AH456" i="121"/>
  <c r="Z456" i="121"/>
  <c r="LL456" i="121"/>
  <c r="FT456" i="121"/>
  <c r="FL456" i="121"/>
  <c r="FD456" i="121"/>
  <c r="EV456" i="121"/>
  <c r="EN456" i="121"/>
  <c r="DX456" i="121"/>
  <c r="DP456" i="121"/>
  <c r="DH456" i="121"/>
  <c r="CZ456" i="121"/>
  <c r="CR456" i="121"/>
  <c r="CJ456" i="121"/>
  <c r="CB456" i="121"/>
  <c r="BT456" i="121"/>
  <c r="BL456" i="121"/>
  <c r="BD456" i="121"/>
  <c r="AV456" i="121"/>
  <c r="AN456" i="121"/>
  <c r="AF456" i="121"/>
  <c r="X456" i="121"/>
  <c r="LK456" i="121"/>
  <c r="HJ456" i="121"/>
  <c r="FP456" i="121"/>
  <c r="FB456" i="121"/>
  <c r="EO456" i="121"/>
  <c r="DT456" i="121"/>
  <c r="DF456" i="121"/>
  <c r="CS456" i="121"/>
  <c r="CG456" i="121"/>
  <c r="BS456" i="121"/>
  <c r="BH456" i="121"/>
  <c r="AT456" i="121"/>
  <c r="AG456" i="121"/>
  <c r="LJ456" i="121"/>
  <c r="GT456" i="121"/>
  <c r="FM456" i="121"/>
  <c r="FA456" i="121"/>
  <c r="EM456" i="121"/>
  <c r="DQ456" i="121"/>
  <c r="DE456" i="121"/>
  <c r="CQ456" i="121"/>
  <c r="CF456" i="121"/>
  <c r="BR456" i="121"/>
  <c r="BE456" i="121"/>
  <c r="AS456" i="121"/>
  <c r="AE456" i="121"/>
  <c r="LI456" i="121"/>
  <c r="FK456" i="121"/>
  <c r="EZ456" i="121"/>
  <c r="EL456" i="121"/>
  <c r="EC456" i="121"/>
  <c r="DO456" i="121"/>
  <c r="DD456" i="121"/>
  <c r="CP456" i="121"/>
  <c r="CC456" i="121"/>
  <c r="BQ456" i="121"/>
  <c r="BC456" i="121"/>
  <c r="AR456" i="121"/>
  <c r="AD456" i="121"/>
  <c r="FU456" i="121"/>
  <c r="FI456" i="121"/>
  <c r="EU456" i="121"/>
  <c r="EJ456" i="121"/>
  <c r="DY456" i="121"/>
  <c r="DM456" i="121"/>
  <c r="CY456" i="121"/>
  <c r="CN456" i="121"/>
  <c r="BZ456" i="121"/>
  <c r="BM456" i="121"/>
  <c r="BA456" i="121"/>
  <c r="AM456" i="121"/>
  <c r="AB456" i="121"/>
  <c r="FJ456" i="121"/>
  <c r="EK456" i="121"/>
  <c r="DV456" i="121"/>
  <c r="CW456" i="121"/>
  <c r="BX456" i="121"/>
  <c r="AW456" i="121"/>
  <c r="FH456" i="121"/>
  <c r="DU456" i="121"/>
  <c r="CV456" i="121"/>
  <c r="BU456" i="121"/>
  <c r="AU456" i="121"/>
  <c r="FE456" i="121"/>
  <c r="DN456" i="121"/>
  <c r="CO456" i="121"/>
  <c r="BP456" i="121"/>
  <c r="AO456" i="121"/>
  <c r="MA456" i="121"/>
  <c r="FC456" i="121"/>
  <c r="DL456" i="121"/>
  <c r="CK456" i="121"/>
  <c r="BK456" i="121"/>
  <c r="AL456" i="121"/>
  <c r="LM456" i="121"/>
  <c r="FS456" i="121"/>
  <c r="DA456" i="121"/>
  <c r="BB456" i="121"/>
  <c r="LH456" i="121"/>
  <c r="FR456" i="121"/>
  <c r="CX456" i="121"/>
  <c r="AZ456" i="121"/>
  <c r="FQ456" i="121"/>
  <c r="CI456" i="121"/>
  <c r="AK456" i="121"/>
  <c r="EW456" i="121"/>
  <c r="CH456" i="121"/>
  <c r="AJ456" i="121"/>
  <c r="ED481" i="121"/>
  <c r="MO481" i="121"/>
  <c r="IC481" i="121"/>
  <c r="MN475" i="121"/>
  <c r="MO475" i="121"/>
  <c r="GA449" i="121"/>
  <c r="DW449" i="121"/>
  <c r="DO449" i="121"/>
  <c r="DG449" i="121"/>
  <c r="CY449" i="121"/>
  <c r="CQ449" i="121"/>
  <c r="CI449" i="121"/>
  <c r="CA449" i="121"/>
  <c r="BS449" i="121"/>
  <c r="EA449" i="121"/>
  <c r="DR449" i="121"/>
  <c r="DI449" i="121"/>
  <c r="CZ449" i="121"/>
  <c r="CP449" i="121"/>
  <c r="CG449" i="121"/>
  <c r="BX449" i="121"/>
  <c r="BO449" i="121"/>
  <c r="DZ449" i="121"/>
  <c r="DQ449" i="121"/>
  <c r="DH449" i="121"/>
  <c r="CX449" i="121"/>
  <c r="CO449" i="121"/>
  <c r="DO471" i="121"/>
  <c r="CW471" i="121"/>
  <c r="BZ471" i="121"/>
  <c r="DN471" i="121"/>
  <c r="CQ471" i="121"/>
  <c r="BY471" i="121"/>
  <c r="DG471" i="121"/>
  <c r="CO471" i="121"/>
  <c r="BR471" i="121"/>
  <c r="GA471" i="121"/>
  <c r="EC471" i="121"/>
  <c r="DF471" i="121"/>
  <c r="CI471" i="121"/>
  <c r="BQ471" i="121"/>
  <c r="FZ471" i="121"/>
  <c r="DW471" i="121"/>
  <c r="DE471" i="121"/>
  <c r="CH471" i="121"/>
  <c r="CP471" i="121"/>
  <c r="FY471" i="121"/>
  <c r="CG471" i="121"/>
  <c r="CA471" i="121"/>
  <c r="DV471" i="121"/>
  <c r="BS471" i="121"/>
  <c r="CY471" i="121"/>
  <c r="CX471" i="121"/>
  <c r="DU471" i="121"/>
  <c r="DM471" i="121"/>
  <c r="MK477" i="121"/>
  <c r="ID477" i="121"/>
  <c r="CM449" i="121"/>
  <c r="DL449" i="121"/>
  <c r="CK455" i="121"/>
  <c r="ME455" i="121"/>
  <c r="MA455" i="121"/>
  <c r="LS455" i="121"/>
  <c r="LK455" i="121"/>
  <c r="HW455" i="121"/>
  <c r="HO455" i="121"/>
  <c r="HG455" i="121"/>
  <c r="GY455" i="121"/>
  <c r="GQ455" i="121"/>
  <c r="GI455" i="121"/>
  <c r="FS455" i="121"/>
  <c r="FK455" i="121"/>
  <c r="FC455" i="121"/>
  <c r="EU455" i="121"/>
  <c r="EM455" i="121"/>
  <c r="BK455" i="121"/>
  <c r="BC455" i="121"/>
  <c r="AU455" i="121"/>
  <c r="AM455" i="121"/>
  <c r="AE455" i="121"/>
  <c r="LZ455" i="121"/>
  <c r="LR455" i="121"/>
  <c r="LJ455" i="121"/>
  <c r="HV455" i="121"/>
  <c r="HN455" i="121"/>
  <c r="HF455" i="121"/>
  <c r="GX455" i="121"/>
  <c r="GP455" i="121"/>
  <c r="GH455" i="121"/>
  <c r="FR455" i="121"/>
  <c r="FJ455" i="121"/>
  <c r="FB455" i="121"/>
  <c r="ET455" i="121"/>
  <c r="EL455" i="121"/>
  <c r="BJ455" i="121"/>
  <c r="BB455" i="121"/>
  <c r="AT455" i="121"/>
  <c r="AL455" i="121"/>
  <c r="AD455" i="121"/>
  <c r="LY455" i="121"/>
  <c r="LQ455" i="121"/>
  <c r="LI455" i="121"/>
  <c r="HU455" i="121"/>
  <c r="HM455" i="121"/>
  <c r="HE455" i="121"/>
  <c r="GW455" i="121"/>
  <c r="GO455" i="121"/>
  <c r="GG455" i="121"/>
  <c r="FQ455" i="121"/>
  <c r="FI455" i="121"/>
  <c r="FA455" i="121"/>
  <c r="ES455" i="121"/>
  <c r="EK455" i="121"/>
  <c r="BI455" i="121"/>
  <c r="BA455" i="121"/>
  <c r="AS455" i="121"/>
  <c r="AK455" i="121"/>
  <c r="AC455" i="121"/>
  <c r="LW455" i="121"/>
  <c r="LO455" i="121"/>
  <c r="LG455" i="121"/>
  <c r="HS455" i="121"/>
  <c r="HK455" i="121"/>
  <c r="MC455" i="121"/>
  <c r="LM455" i="121"/>
  <c r="HQ455" i="121"/>
  <c r="HB455" i="121"/>
  <c r="GN455" i="121"/>
  <c r="FO455" i="121"/>
  <c r="FD455" i="121"/>
  <c r="EP455" i="121"/>
  <c r="BE455" i="121"/>
  <c r="AQ455" i="121"/>
  <c r="AF455" i="121"/>
  <c r="MB455" i="121"/>
  <c r="LL455" i="121"/>
  <c r="HP455" i="121"/>
  <c r="HA455" i="121"/>
  <c r="GM455" i="121"/>
  <c r="FN455" i="121"/>
  <c r="EZ455" i="121"/>
  <c r="EO455" i="121"/>
  <c r="BD455" i="121"/>
  <c r="AP455" i="121"/>
  <c r="AB455" i="121"/>
  <c r="LX455" i="121"/>
  <c r="LH455" i="121"/>
  <c r="HL455" i="121"/>
  <c r="GZ455" i="121"/>
  <c r="GL455" i="121"/>
  <c r="FM455" i="121"/>
  <c r="EY455" i="121"/>
  <c r="EN455" i="121"/>
  <c r="AZ455" i="121"/>
  <c r="AO455" i="121"/>
  <c r="AA455" i="121"/>
  <c r="LV455" i="121"/>
  <c r="HJ455" i="121"/>
  <c r="GV455" i="121"/>
  <c r="GK455" i="121"/>
  <c r="FL455" i="121"/>
  <c r="EX455" i="121"/>
  <c r="EJ455" i="121"/>
  <c r="AY455" i="121"/>
  <c r="AN455" i="121"/>
  <c r="Z455" i="121"/>
  <c r="LP455" i="121"/>
  <c r="HH455" i="121"/>
  <c r="FG455" i="121"/>
  <c r="BH455" i="121"/>
  <c r="AI455" i="121"/>
  <c r="LN455" i="121"/>
  <c r="HD455" i="121"/>
  <c r="FF455" i="121"/>
  <c r="BG455" i="121"/>
  <c r="AH455" i="121"/>
  <c r="HC455" i="121"/>
  <c r="FE455" i="121"/>
  <c r="BF455" i="121"/>
  <c r="AG455" i="121"/>
  <c r="HY455" i="121"/>
  <c r="GU455" i="121"/>
  <c r="FV455" i="121"/>
  <c r="EW455" i="121"/>
  <c r="AX455" i="121"/>
  <c r="Y455" i="121"/>
  <c r="ML482" i="121"/>
  <c r="LY482" i="121"/>
  <c r="LQ482" i="121"/>
  <c r="LI482" i="121"/>
  <c r="HY482" i="121"/>
  <c r="HQ482" i="121"/>
  <c r="HI482" i="121"/>
  <c r="HA482" i="121"/>
  <c r="GS482" i="121"/>
  <c r="GK482" i="121"/>
  <c r="GC482" i="121"/>
  <c r="FU482" i="121"/>
  <c r="FM482" i="121"/>
  <c r="FE482" i="121"/>
  <c r="EW482" i="121"/>
  <c r="EO482" i="121"/>
  <c r="EG482" i="121"/>
  <c r="DY482" i="121"/>
  <c r="DQ482" i="121"/>
  <c r="DI482" i="121"/>
  <c r="DA482" i="121"/>
  <c r="CS482" i="121"/>
  <c r="CK482" i="121"/>
  <c r="CC482" i="121"/>
  <c r="BU482" i="121"/>
  <c r="BM482" i="121"/>
  <c r="BE482" i="121"/>
  <c r="AW482" i="121"/>
  <c r="AO482" i="121"/>
  <c r="AG482" i="121"/>
  <c r="Y482" i="121"/>
  <c r="MK482" i="121"/>
  <c r="LX482" i="121"/>
  <c r="LP482" i="121"/>
  <c r="LH482" i="121"/>
  <c r="HX482" i="121"/>
  <c r="HP482" i="121"/>
  <c r="HH482" i="121"/>
  <c r="GZ482" i="121"/>
  <c r="GR482" i="121"/>
  <c r="GJ482" i="121"/>
  <c r="GB482" i="121"/>
  <c r="FT482" i="121"/>
  <c r="FL482" i="121"/>
  <c r="FD482" i="121"/>
  <c r="EV482" i="121"/>
  <c r="EN482" i="121"/>
  <c r="EF482" i="121"/>
  <c r="DX482" i="121"/>
  <c r="DP482" i="121"/>
  <c r="DH482" i="121"/>
  <c r="CZ482" i="121"/>
  <c r="CR482" i="121"/>
  <c r="CJ482" i="121"/>
  <c r="CB482" i="121"/>
  <c r="BT482" i="121"/>
  <c r="BL482" i="121"/>
  <c r="BD482" i="121"/>
  <c r="AV482" i="121"/>
  <c r="AN482" i="121"/>
  <c r="AF482" i="121"/>
  <c r="X482" i="121"/>
  <c r="MC482" i="121"/>
  <c r="LU482" i="121"/>
  <c r="LM482" i="121"/>
  <c r="IC482" i="121"/>
  <c r="HU482" i="121"/>
  <c r="HM482" i="121"/>
  <c r="HE482" i="121"/>
  <c r="GW482" i="121"/>
  <c r="GO482" i="121"/>
  <c r="GG482" i="121"/>
  <c r="FY482" i="121"/>
  <c r="FQ482" i="121"/>
  <c r="FI482" i="121"/>
  <c r="FA482" i="121"/>
  <c r="ES482" i="121"/>
  <c r="EK482" i="121"/>
  <c r="EC482" i="121"/>
  <c r="DU482" i="121"/>
  <c r="DM482" i="121"/>
  <c r="DE482" i="121"/>
  <c r="CW482" i="121"/>
  <c r="CO482" i="121"/>
  <c r="CG482" i="121"/>
  <c r="BY482" i="121"/>
  <c r="BQ482" i="121"/>
  <c r="BI482" i="121"/>
  <c r="BA482" i="121"/>
  <c r="AS482" i="121"/>
  <c r="AK482" i="121"/>
  <c r="AC482" i="121"/>
  <c r="LW482" i="121"/>
  <c r="LK482" i="121"/>
  <c r="HV482" i="121"/>
  <c r="HJ482" i="121"/>
  <c r="GV482" i="121"/>
  <c r="GI482" i="121"/>
  <c r="FW482" i="121"/>
  <c r="FJ482" i="121"/>
  <c r="EX482" i="121"/>
  <c r="EJ482" i="121"/>
  <c r="DW482" i="121"/>
  <c r="DK482" i="121"/>
  <c r="CX482" i="121"/>
  <c r="CL482" i="121"/>
  <c r="BX482" i="121"/>
  <c r="BK482" i="121"/>
  <c r="AY482" i="121"/>
  <c r="AL482" i="121"/>
  <c r="Z482" i="121"/>
  <c r="LV482" i="121"/>
  <c r="LJ482" i="121"/>
  <c r="HT482" i="121"/>
  <c r="HG482" i="121"/>
  <c r="GU482" i="121"/>
  <c r="GH482" i="121"/>
  <c r="FV482" i="121"/>
  <c r="FH482" i="121"/>
  <c r="EU482" i="121"/>
  <c r="EI482" i="121"/>
  <c r="DV482" i="121"/>
  <c r="DJ482" i="121"/>
  <c r="CV482" i="121"/>
  <c r="CI482" i="121"/>
  <c r="BW482" i="121"/>
  <c r="BJ482" i="121"/>
  <c r="AX482" i="121"/>
  <c r="AJ482" i="121"/>
  <c r="LT482" i="121"/>
  <c r="LG482" i="121"/>
  <c r="HS482" i="121"/>
  <c r="HF482" i="121"/>
  <c r="GT482" i="121"/>
  <c r="GF482" i="121"/>
  <c r="FS482" i="121"/>
  <c r="FG482" i="121"/>
  <c r="ET482" i="121"/>
  <c r="EH482" i="121"/>
  <c r="DT482" i="121"/>
  <c r="DG482" i="121"/>
  <c r="CU482" i="121"/>
  <c r="CH482" i="121"/>
  <c r="BV482" i="121"/>
  <c r="BH482" i="121"/>
  <c r="AU482" i="121"/>
  <c r="AI482" i="121"/>
  <c r="ME482" i="121"/>
  <c r="LS482" i="121"/>
  <c r="ID482" i="121"/>
  <c r="HR482" i="121"/>
  <c r="HD482" i="121"/>
  <c r="GQ482" i="121"/>
  <c r="GE482" i="121"/>
  <c r="FR482" i="121"/>
  <c r="FF482" i="121"/>
  <c r="ER482" i="121"/>
  <c r="EE482" i="121"/>
  <c r="DS482" i="121"/>
  <c r="DF482" i="121"/>
  <c r="CT482" i="121"/>
  <c r="CF482" i="121"/>
  <c r="BS482" i="121"/>
  <c r="BG482" i="121"/>
  <c r="AT482" i="121"/>
  <c r="AH482" i="121"/>
  <c r="LZ482" i="121"/>
  <c r="HW482" i="121"/>
  <c r="GX482" i="121"/>
  <c r="FX482" i="121"/>
  <c r="EY482" i="121"/>
  <c r="DZ482" i="121"/>
  <c r="CY482" i="121"/>
  <c r="BZ482" i="121"/>
  <c r="AZ482" i="121"/>
  <c r="AA482" i="121"/>
  <c r="LR482" i="121"/>
  <c r="HO482" i="121"/>
  <c r="GP482" i="121"/>
  <c r="FP482" i="121"/>
  <c r="EQ482" i="121"/>
  <c r="DR482" i="121"/>
  <c r="CQ482" i="121"/>
  <c r="BR482" i="121"/>
  <c r="AR482" i="121"/>
  <c r="LO482" i="121"/>
  <c r="HN482" i="121"/>
  <c r="GN482" i="121"/>
  <c r="FO482" i="121"/>
  <c r="EP482" i="121"/>
  <c r="DO482" i="121"/>
  <c r="CP482" i="121"/>
  <c r="BP482" i="121"/>
  <c r="AQ482" i="121"/>
  <c r="LN482" i="121"/>
  <c r="HL482" i="121"/>
  <c r="GM482" i="121"/>
  <c r="FN482" i="121"/>
  <c r="EM482" i="121"/>
  <c r="DN482" i="121"/>
  <c r="CN482" i="121"/>
  <c r="BO482" i="121"/>
  <c r="AP482" i="121"/>
  <c r="LL482" i="121"/>
  <c r="GL482" i="121"/>
  <c r="EL482" i="121"/>
  <c r="CM482" i="121"/>
  <c r="AM482" i="121"/>
  <c r="IB482" i="121"/>
  <c r="GD482" i="121"/>
  <c r="ED482" i="121"/>
  <c r="CE482" i="121"/>
  <c r="AE482" i="121"/>
  <c r="IA482" i="121"/>
  <c r="GA482" i="121"/>
  <c r="EB482" i="121"/>
  <c r="CD482" i="121"/>
  <c r="AD482" i="121"/>
  <c r="HZ482" i="121"/>
  <c r="FZ482" i="121"/>
  <c r="EA482" i="121"/>
  <c r="CA482" i="121"/>
  <c r="AB482" i="121"/>
  <c r="HK482" i="121"/>
  <c r="FK482" i="121"/>
  <c r="DL482" i="121"/>
  <c r="BN482" i="121"/>
  <c r="MD482" i="121"/>
  <c r="HC482" i="121"/>
  <c r="FC482" i="121"/>
  <c r="DD482" i="121"/>
  <c r="BF482" i="121"/>
  <c r="DC482" i="121"/>
  <c r="DB482" i="121"/>
  <c r="MB482" i="121"/>
  <c r="BC482" i="121"/>
  <c r="MA482" i="121"/>
  <c r="BB482" i="121"/>
  <c r="FB482" i="121"/>
  <c r="EZ482" i="121"/>
  <c r="HB482" i="121"/>
  <c r="GY482" i="121"/>
  <c r="L455" i="121"/>
  <c r="M455" i="121" s="1"/>
  <c r="MO450" i="121"/>
  <c r="ME450" i="121"/>
  <c r="LW450" i="121"/>
  <c r="LO450" i="121"/>
  <c r="LG450" i="121"/>
  <c r="KQ450" i="121"/>
  <c r="KA450" i="121"/>
  <c r="JK450" i="121"/>
  <c r="IU450" i="121"/>
  <c r="IE450" i="121"/>
  <c r="HW450" i="121"/>
  <c r="HO450" i="121"/>
  <c r="HG450" i="121"/>
  <c r="GY450" i="121"/>
  <c r="GQ450" i="121"/>
  <c r="GI450" i="121"/>
  <c r="GA450" i="121"/>
  <c r="FS450" i="121"/>
  <c r="FK450" i="121"/>
  <c r="FC450" i="121"/>
  <c r="EU450" i="121"/>
  <c r="EM450" i="121"/>
  <c r="EE450" i="121"/>
  <c r="DW450" i="121"/>
  <c r="DO450" i="121"/>
  <c r="DG450" i="121"/>
  <c r="CY450" i="121"/>
  <c r="CQ450" i="121"/>
  <c r="CI450" i="121"/>
  <c r="CA450" i="121"/>
  <c r="BS450" i="121"/>
  <c r="BK450" i="121"/>
  <c r="BC450" i="121"/>
  <c r="AU450" i="121"/>
  <c r="AM450" i="121"/>
  <c r="AE450" i="121"/>
  <c r="MK450" i="121"/>
  <c r="LZ450" i="121"/>
  <c r="LQ450" i="121"/>
  <c r="LH450" i="121"/>
  <c r="KN450" i="121"/>
  <c r="JW450" i="121"/>
  <c r="JD450" i="121"/>
  <c r="IM450" i="121"/>
  <c r="HZ450" i="121"/>
  <c r="HQ450" i="121"/>
  <c r="HH450" i="121"/>
  <c r="GX450" i="121"/>
  <c r="GO450" i="121"/>
  <c r="GF450" i="121"/>
  <c r="FW450" i="121"/>
  <c r="FN450" i="121"/>
  <c r="FE450" i="121"/>
  <c r="EV450" i="121"/>
  <c r="EL450" i="121"/>
  <c r="EC450" i="121"/>
  <c r="DT450" i="121"/>
  <c r="DK450" i="121"/>
  <c r="DB450" i="121"/>
  <c r="CS450" i="121"/>
  <c r="CJ450" i="121"/>
  <c r="BZ450" i="121"/>
  <c r="BQ450" i="121"/>
  <c r="BH450" i="121"/>
  <c r="AY450" i="121"/>
  <c r="AP450" i="121"/>
  <c r="AG450" i="121"/>
  <c r="X450" i="121"/>
  <c r="MI450" i="121"/>
  <c r="LX450" i="121"/>
  <c r="LN450" i="121"/>
  <c r="LC450" i="121"/>
  <c r="KJ450" i="121"/>
  <c r="JS450" i="121"/>
  <c r="IZ450" i="121"/>
  <c r="II450" i="121"/>
  <c r="HX450" i="121"/>
  <c r="HN450" i="121"/>
  <c r="HE450" i="121"/>
  <c r="GV450" i="121"/>
  <c r="GM450" i="121"/>
  <c r="GD450" i="121"/>
  <c r="FU450" i="121"/>
  <c r="FL450" i="121"/>
  <c r="FB450" i="121"/>
  <c r="ES450" i="121"/>
  <c r="EJ450" i="121"/>
  <c r="EA450" i="121"/>
  <c r="DR450" i="121"/>
  <c r="DI450" i="121"/>
  <c r="CZ450" i="121"/>
  <c r="CP450" i="121"/>
  <c r="CG450" i="121"/>
  <c r="BX450" i="121"/>
  <c r="BO450" i="121"/>
  <c r="BF450" i="121"/>
  <c r="AW450" i="121"/>
  <c r="AN450" i="121"/>
  <c r="AD450" i="121"/>
  <c r="MF450" i="121"/>
  <c r="LM450" i="121"/>
  <c r="KI450" i="121"/>
  <c r="JP450" i="121"/>
  <c r="IF450" i="121"/>
  <c r="HV450" i="121"/>
  <c r="HD450" i="121"/>
  <c r="GL450" i="121"/>
  <c r="GC450" i="121"/>
  <c r="FJ450" i="121"/>
  <c r="FA450" i="121"/>
  <c r="ER450" i="121"/>
  <c r="DZ450" i="121"/>
  <c r="DH450" i="121"/>
  <c r="CO450" i="121"/>
  <c r="BW450" i="121"/>
  <c r="BN450" i="121"/>
  <c r="AV450" i="121"/>
  <c r="AL450" i="121"/>
  <c r="AC450" i="121"/>
  <c r="MR450" i="121"/>
  <c r="LV450" i="121"/>
  <c r="KZ450" i="121"/>
  <c r="IY450" i="121"/>
  <c r="HM450" i="121"/>
  <c r="GU450" i="121"/>
  <c r="FT450" i="121"/>
  <c r="EI450" i="121"/>
  <c r="DQ450" i="121"/>
  <c r="CX450" i="121"/>
  <c r="CF450" i="121"/>
  <c r="BE450" i="121"/>
  <c r="FZ462" i="121"/>
  <c r="DJ462" i="121"/>
  <c r="CD462" i="121"/>
  <c r="FY462" i="121"/>
  <c r="DC462" i="121"/>
  <c r="BW462" i="121"/>
  <c r="FW462" i="121"/>
  <c r="EA462" i="121"/>
  <c r="CU462" i="121"/>
  <c r="BO462" i="121"/>
  <c r="CM462" i="121"/>
  <c r="GA462" i="121"/>
  <c r="CL462" i="121"/>
  <c r="FX462" i="121"/>
  <c r="DZ462" i="121"/>
  <c r="CE462" i="121"/>
  <c r="DS462" i="121"/>
  <c r="BV462" i="121"/>
  <c r="DR462" i="121"/>
  <c r="BN462" i="121"/>
  <c r="DK462" i="121"/>
  <c r="DB462" i="121"/>
  <c r="CT462" i="121"/>
  <c r="EE455" i="121"/>
  <c r="ED455" i="121"/>
  <c r="GC455" i="121"/>
  <c r="GB455" i="121"/>
  <c r="GF455" i="121"/>
  <c r="EH455" i="121"/>
  <c r="GE455" i="121"/>
  <c r="EG455" i="121"/>
  <c r="GD455" i="121"/>
  <c r="EF455" i="121"/>
  <c r="GZ449" i="121"/>
  <c r="LO449" i="121"/>
  <c r="LG449" i="121"/>
  <c r="FS449" i="121"/>
  <c r="FK449" i="121"/>
  <c r="FC449" i="121"/>
  <c r="EU449" i="121"/>
  <c r="EM449" i="121"/>
  <c r="BK449" i="121"/>
  <c r="BC449" i="121"/>
  <c r="AU449" i="121"/>
  <c r="AM449" i="121"/>
  <c r="LL449" i="121"/>
  <c r="LJ449" i="121"/>
  <c r="FT449" i="121"/>
  <c r="FJ449" i="121"/>
  <c r="FA449" i="121"/>
  <c r="ER449" i="121"/>
  <c r="EI449" i="121"/>
  <c r="BF449" i="121"/>
  <c r="AW449" i="121"/>
  <c r="AN449" i="121"/>
  <c r="AE449" i="121"/>
  <c r="LI449" i="121"/>
  <c r="FR449" i="121"/>
  <c r="FI449" i="121"/>
  <c r="EZ449" i="121"/>
  <c r="EQ449" i="121"/>
  <c r="MC471" i="121"/>
  <c r="LU471" i="121"/>
  <c r="LM471" i="121"/>
  <c r="HS471" i="121"/>
  <c r="HK471" i="121"/>
  <c r="HC471" i="121"/>
  <c r="GU471" i="121"/>
  <c r="GM471" i="121"/>
  <c r="FU471" i="121"/>
  <c r="FM471" i="121"/>
  <c r="FE471" i="121"/>
  <c r="EW471" i="121"/>
  <c r="EO471" i="121"/>
  <c r="BH471" i="121"/>
  <c r="AZ471" i="121"/>
  <c r="AR471" i="121"/>
  <c r="AJ471" i="121"/>
  <c r="AB471" i="121"/>
  <c r="MB471" i="121"/>
  <c r="LT471" i="121"/>
  <c r="LL471" i="121"/>
  <c r="HR471" i="121"/>
  <c r="HJ471" i="121"/>
  <c r="HB471" i="121"/>
  <c r="GT471" i="121"/>
  <c r="GL471" i="121"/>
  <c r="FT471" i="121"/>
  <c r="FL471" i="121"/>
  <c r="FD471" i="121"/>
  <c r="EV471" i="121"/>
  <c r="EN471" i="121"/>
  <c r="BG471" i="121"/>
  <c r="AY471" i="121"/>
  <c r="AQ471" i="121"/>
  <c r="AI471" i="121"/>
  <c r="AA471" i="121"/>
  <c r="LZ471" i="121"/>
  <c r="LR471" i="121"/>
  <c r="LJ471" i="121"/>
  <c r="HX471" i="121"/>
  <c r="HP471" i="121"/>
  <c r="HH471" i="121"/>
  <c r="GZ471" i="121"/>
  <c r="GR471" i="121"/>
  <c r="GJ471" i="121"/>
  <c r="FR471" i="121"/>
  <c r="FJ471" i="121"/>
  <c r="FB471" i="121"/>
  <c r="ET471" i="121"/>
  <c r="EL471" i="121"/>
  <c r="BE471" i="121"/>
  <c r="AW471" i="121"/>
  <c r="AO471" i="121"/>
  <c r="AG471" i="121"/>
  <c r="Y471" i="121"/>
  <c r="LY471" i="121"/>
  <c r="LQ471" i="121"/>
  <c r="LI471" i="121"/>
  <c r="HW471" i="121"/>
  <c r="HO471" i="121"/>
  <c r="HG471" i="121"/>
  <c r="GY471" i="121"/>
  <c r="GQ471" i="121"/>
  <c r="GI471" i="121"/>
  <c r="FQ471" i="121"/>
  <c r="FI471" i="121"/>
  <c r="FA471" i="121"/>
  <c r="ES471" i="121"/>
  <c r="EK471" i="121"/>
  <c r="BD471" i="121"/>
  <c r="AV471" i="121"/>
  <c r="AN471" i="121"/>
  <c r="AF471" i="121"/>
  <c r="X471" i="121"/>
  <c r="LX471" i="121"/>
  <c r="LP471" i="121"/>
  <c r="LH471" i="121"/>
  <c r="HV471" i="121"/>
  <c r="HN471" i="121"/>
  <c r="HF471" i="121"/>
  <c r="GX471" i="121"/>
  <c r="GP471" i="121"/>
  <c r="GH471" i="121"/>
  <c r="FP471" i="121"/>
  <c r="FH471" i="121"/>
  <c r="EZ471" i="121"/>
  <c r="ER471" i="121"/>
  <c r="EJ471" i="121"/>
  <c r="LS471" i="121"/>
  <c r="HT471" i="121"/>
  <c r="GW471" i="121"/>
  <c r="FF471" i="121"/>
  <c r="EI471" i="121"/>
  <c r="BC471" i="121"/>
  <c r="AM471" i="121"/>
  <c r="LO471" i="121"/>
  <c r="HQ471" i="121"/>
  <c r="GV471" i="121"/>
  <c r="FC471" i="121"/>
  <c r="BB471" i="121"/>
  <c r="AL471" i="121"/>
  <c r="LN471" i="121"/>
  <c r="HM471" i="121"/>
  <c r="GS471" i="121"/>
  <c r="FV471" i="121"/>
  <c r="EY471" i="121"/>
  <c r="BA471" i="121"/>
  <c r="AK471" i="121"/>
  <c r="ME471" i="121"/>
  <c r="LK471" i="121"/>
  <c r="HL471" i="121"/>
  <c r="GO471" i="121"/>
  <c r="FS471" i="121"/>
  <c r="EX471" i="121"/>
  <c r="AX471" i="121"/>
  <c r="AH471" i="121"/>
  <c r="LW471" i="121"/>
  <c r="HD471" i="121"/>
  <c r="FK471" i="121"/>
  <c r="AS471" i="121"/>
  <c r="LV471" i="121"/>
  <c r="HA471" i="121"/>
  <c r="FG471" i="121"/>
  <c r="AP471" i="121"/>
  <c r="LG471" i="121"/>
  <c r="GN471" i="121"/>
  <c r="EU471" i="121"/>
  <c r="BK471" i="121"/>
  <c r="AE471" i="121"/>
  <c r="GK471" i="121"/>
  <c r="EQ471" i="121"/>
  <c r="BJ471" i="121"/>
  <c r="AD471" i="121"/>
  <c r="HI471" i="121"/>
  <c r="HE471" i="121"/>
  <c r="GG471" i="121"/>
  <c r="BI471" i="121"/>
  <c r="MD471" i="121"/>
  <c r="BF471" i="121"/>
  <c r="MA471" i="121"/>
  <c r="FO471" i="121"/>
  <c r="AU471" i="121"/>
  <c r="FN471" i="121"/>
  <c r="AT471" i="121"/>
  <c r="EP471" i="121"/>
  <c r="EM471" i="121"/>
  <c r="AC471" i="121"/>
  <c r="Z471" i="121"/>
  <c r="HY471" i="121"/>
  <c r="HU471" i="121"/>
  <c r="MO466" i="121"/>
  <c r="MB466" i="121"/>
  <c r="LT466" i="121"/>
  <c r="LL466" i="121"/>
  <c r="JN466" i="121"/>
  <c r="HY466" i="121"/>
  <c r="HQ466" i="121"/>
  <c r="HI466" i="121"/>
  <c r="HA466" i="121"/>
  <c r="GS466" i="121"/>
  <c r="GK466" i="121"/>
  <c r="GC466" i="121"/>
  <c r="FU466" i="121"/>
  <c r="FM466" i="121"/>
  <c r="FE466" i="121"/>
  <c r="EW466" i="121"/>
  <c r="EO466" i="121"/>
  <c r="EG466" i="121"/>
  <c r="DY466" i="121"/>
  <c r="DQ466" i="121"/>
  <c r="DI466" i="121"/>
  <c r="DA466" i="121"/>
  <c r="CS466" i="121"/>
  <c r="CK466" i="121"/>
  <c r="CC466" i="121"/>
  <c r="BU466" i="121"/>
  <c r="MN466" i="121"/>
  <c r="MA466" i="121"/>
  <c r="LS466" i="121"/>
  <c r="LK466" i="121"/>
  <c r="MM466" i="121"/>
  <c r="LZ466" i="121"/>
  <c r="LR466" i="121"/>
  <c r="LJ466" i="121"/>
  <c r="IH466" i="121"/>
  <c r="HW466" i="121"/>
  <c r="HO466" i="121"/>
  <c r="HG466" i="121"/>
  <c r="GY466" i="121"/>
  <c r="GQ466" i="121"/>
  <c r="GI466" i="121"/>
  <c r="GA466" i="121"/>
  <c r="FS466" i="121"/>
  <c r="FK466" i="121"/>
  <c r="ME466" i="121"/>
  <c r="LQ466" i="121"/>
  <c r="KT466" i="121"/>
  <c r="HX466" i="121"/>
  <c r="HM466" i="121"/>
  <c r="HC466" i="121"/>
  <c r="GR466" i="121"/>
  <c r="GG466" i="121"/>
  <c r="FW466" i="121"/>
  <c r="FL466" i="121"/>
  <c r="FB466" i="121"/>
  <c r="ES466" i="121"/>
  <c r="EJ466" i="121"/>
  <c r="EA466" i="121"/>
  <c r="DR466" i="121"/>
  <c r="DH466" i="121"/>
  <c r="CY466" i="121"/>
  <c r="CP466" i="121"/>
  <c r="CG466" i="121"/>
  <c r="BX466" i="121"/>
  <c r="BO466" i="121"/>
  <c r="BG466" i="121"/>
  <c r="AY466" i="121"/>
  <c r="AQ466" i="121"/>
  <c r="AI466" i="121"/>
  <c r="AA466" i="121"/>
  <c r="MD466" i="121"/>
  <c r="LP466" i="121"/>
  <c r="KD466" i="121"/>
  <c r="HV466" i="121"/>
  <c r="HL466" i="121"/>
  <c r="HB466" i="121"/>
  <c r="GP466" i="121"/>
  <c r="GF466" i="121"/>
  <c r="FV466" i="121"/>
  <c r="FJ466" i="121"/>
  <c r="FA466" i="121"/>
  <c r="ER466" i="121"/>
  <c r="EI466" i="121"/>
  <c r="DZ466" i="121"/>
  <c r="DP466" i="121"/>
  <c r="DG466" i="121"/>
  <c r="CX466" i="121"/>
  <c r="CO466" i="121"/>
  <c r="CF466" i="121"/>
  <c r="BW466" i="121"/>
  <c r="BN466" i="121"/>
  <c r="BF466" i="121"/>
  <c r="AX466" i="121"/>
  <c r="AP466" i="121"/>
  <c r="AH466" i="121"/>
  <c r="Z466" i="121"/>
  <c r="LY466" i="121"/>
  <c r="LN466" i="121"/>
  <c r="ID466" i="121"/>
  <c r="HT466" i="121"/>
  <c r="HJ466" i="121"/>
  <c r="GX466" i="121"/>
  <c r="GN466" i="121"/>
  <c r="GD466" i="121"/>
  <c r="FR466" i="121"/>
  <c r="FH466" i="121"/>
  <c r="EY466" i="121"/>
  <c r="EP466" i="121"/>
  <c r="EF466" i="121"/>
  <c r="DW466" i="121"/>
  <c r="DN466" i="121"/>
  <c r="DE466" i="121"/>
  <c r="CV466" i="121"/>
  <c r="CM466" i="121"/>
  <c r="CD466" i="121"/>
  <c r="BT466" i="121"/>
  <c r="BL466" i="121"/>
  <c r="BD466" i="121"/>
  <c r="AV466" i="121"/>
  <c r="AN466" i="121"/>
  <c r="AF466" i="121"/>
  <c r="X466" i="121"/>
  <c r="ML466" i="121"/>
  <c r="LM466" i="121"/>
  <c r="HZ466" i="121"/>
  <c r="HF466" i="121"/>
  <c r="GO466" i="121"/>
  <c r="FY466" i="121"/>
  <c r="FG466" i="121"/>
  <c r="ET466" i="121"/>
  <c r="ED466" i="121"/>
  <c r="DO466" i="121"/>
  <c r="DB466" i="121"/>
  <c r="CL466" i="121"/>
  <c r="BY466" i="121"/>
  <c r="BJ466" i="121"/>
  <c r="AW466" i="121"/>
  <c r="AK466" i="121"/>
  <c r="MK466" i="121"/>
  <c r="LI466" i="121"/>
  <c r="HU466" i="121"/>
  <c r="HE466" i="121"/>
  <c r="GM466" i="121"/>
  <c r="FX466" i="121"/>
  <c r="FF466" i="121"/>
  <c r="EQ466" i="121"/>
  <c r="EC466" i="121"/>
  <c r="DM466" i="121"/>
  <c r="CZ466" i="121"/>
  <c r="CJ466" i="121"/>
  <c r="BV466" i="121"/>
  <c r="BI466" i="121"/>
  <c r="AU466" i="121"/>
  <c r="AJ466" i="121"/>
  <c r="MC466" i="121"/>
  <c r="LH466" i="121"/>
  <c r="HS466" i="121"/>
  <c r="HD466" i="121"/>
  <c r="GL466" i="121"/>
  <c r="FT466" i="121"/>
  <c r="FD466" i="121"/>
  <c r="EN466" i="121"/>
  <c r="EB466" i="121"/>
  <c r="DL466" i="121"/>
  <c r="CW466" i="121"/>
  <c r="CI466" i="121"/>
  <c r="BS466" i="121"/>
  <c r="BH466" i="121"/>
  <c r="AT466" i="121"/>
  <c r="AG466" i="121"/>
  <c r="LX466" i="121"/>
  <c r="LG466" i="121"/>
  <c r="HR466" i="121"/>
  <c r="GZ466" i="121"/>
  <c r="GJ466" i="121"/>
  <c r="FQ466" i="121"/>
  <c r="FC466" i="121"/>
  <c r="EM466" i="121"/>
  <c r="DX466" i="121"/>
  <c r="DK466" i="121"/>
  <c r="CU466" i="121"/>
  <c r="CH466" i="121"/>
  <c r="BR466" i="121"/>
  <c r="BE466" i="121"/>
  <c r="AS466" i="121"/>
  <c r="AE466" i="121"/>
  <c r="LW466" i="121"/>
  <c r="IX466" i="121"/>
  <c r="HP466" i="121"/>
  <c r="GW466" i="121"/>
  <c r="GH466" i="121"/>
  <c r="FP466" i="121"/>
  <c r="EZ466" i="121"/>
  <c r="EL466" i="121"/>
  <c r="DV466" i="121"/>
  <c r="DJ466" i="121"/>
  <c r="CT466" i="121"/>
  <c r="CE466" i="121"/>
  <c r="BQ466" i="121"/>
  <c r="BC466" i="121"/>
  <c r="AR466" i="121"/>
  <c r="AD466" i="121"/>
  <c r="LV466" i="121"/>
  <c r="IC466" i="121"/>
  <c r="HN466" i="121"/>
  <c r="GV466" i="121"/>
  <c r="GE466" i="121"/>
  <c r="FO466" i="121"/>
  <c r="EX466" i="121"/>
  <c r="EK466" i="121"/>
  <c r="DU466" i="121"/>
  <c r="DF466" i="121"/>
  <c r="CR466" i="121"/>
  <c r="CB466" i="121"/>
  <c r="BP466" i="121"/>
  <c r="BB466" i="121"/>
  <c r="AO466" i="121"/>
  <c r="AC466" i="121"/>
  <c r="GU466" i="121"/>
  <c r="EH466" i="121"/>
  <c r="CA466" i="121"/>
  <c r="AB466" i="121"/>
  <c r="MT466" i="121"/>
  <c r="GT466" i="121"/>
  <c r="EE466" i="121"/>
  <c r="BZ466" i="121"/>
  <c r="Y466" i="121"/>
  <c r="LU466" i="121"/>
  <c r="GB466" i="121"/>
  <c r="DT466" i="121"/>
  <c r="BM466" i="121"/>
  <c r="LO466" i="121"/>
  <c r="FZ466" i="121"/>
  <c r="DS466" i="121"/>
  <c r="BK466" i="121"/>
  <c r="IB466" i="121"/>
  <c r="DD466" i="121"/>
  <c r="IA466" i="121"/>
  <c r="DC466" i="121"/>
  <c r="HK466" i="121"/>
  <c r="CQ466" i="121"/>
  <c r="HH466" i="121"/>
  <c r="CN466" i="121"/>
  <c r="FY478" i="121"/>
  <c r="DX478" i="121"/>
  <c r="DP478" i="121"/>
  <c r="DH478" i="121"/>
  <c r="CZ478" i="121"/>
  <c r="CR478" i="121"/>
  <c r="CJ478" i="121"/>
  <c r="CB478" i="121"/>
  <c r="BT478" i="121"/>
  <c r="BL478" i="121"/>
  <c r="DW478" i="121"/>
  <c r="DO478" i="121"/>
  <c r="DG478" i="121"/>
  <c r="CY478" i="121"/>
  <c r="CQ478" i="121"/>
  <c r="CI478" i="121"/>
  <c r="CA478" i="121"/>
  <c r="BS478" i="121"/>
  <c r="GA478" i="121"/>
  <c r="DV478" i="121"/>
  <c r="DN478" i="121"/>
  <c r="DF478" i="121"/>
  <c r="CX478" i="121"/>
  <c r="CP478" i="121"/>
  <c r="CH478" i="121"/>
  <c r="BZ478" i="121"/>
  <c r="BR478" i="121"/>
  <c r="FZ478" i="121"/>
  <c r="EC478" i="121"/>
  <c r="DU478" i="121"/>
  <c r="DM478" i="121"/>
  <c r="DE478" i="121"/>
  <c r="CW478" i="121"/>
  <c r="CO478" i="121"/>
  <c r="CG478" i="121"/>
  <c r="BY478" i="121"/>
  <c r="BQ478" i="121"/>
  <c r="DY478" i="121"/>
  <c r="DI478" i="121"/>
  <c r="CS478" i="121"/>
  <c r="CC478" i="121"/>
  <c r="BM478" i="121"/>
  <c r="DT478" i="121"/>
  <c r="DD478" i="121"/>
  <c r="CN478" i="121"/>
  <c r="BX478" i="121"/>
  <c r="DS478" i="121"/>
  <c r="DC478" i="121"/>
  <c r="CM478" i="121"/>
  <c r="BW478" i="121"/>
  <c r="DR478" i="121"/>
  <c r="DB478" i="121"/>
  <c r="CL478" i="121"/>
  <c r="BV478" i="121"/>
  <c r="DL478" i="121"/>
  <c r="CF478" i="121"/>
  <c r="DK478" i="121"/>
  <c r="CE478" i="121"/>
  <c r="DJ478" i="121"/>
  <c r="CD478" i="121"/>
  <c r="DA478" i="121"/>
  <c r="BU478" i="121"/>
  <c r="EB478" i="121"/>
  <c r="CV478" i="121"/>
  <c r="BP478" i="121"/>
  <c r="FX478" i="121"/>
  <c r="EA478" i="121"/>
  <c r="CU478" i="121"/>
  <c r="BO478" i="121"/>
  <c r="DZ478" i="121"/>
  <c r="DQ478" i="121"/>
  <c r="FW478" i="121"/>
  <c r="CT478" i="121"/>
  <c r="CK478" i="121"/>
  <c r="BN478" i="121"/>
  <c r="GE485" i="121"/>
  <c r="EF485" i="121"/>
  <c r="GD485" i="121"/>
  <c r="EE485" i="121"/>
  <c r="FY485" i="121"/>
  <c r="GF485" i="121"/>
  <c r="GC485" i="121"/>
  <c r="GB485" i="121"/>
  <c r="FX485" i="121"/>
  <c r="EH485" i="121"/>
  <c r="EG485" i="121"/>
  <c r="ED485" i="121"/>
  <c r="FY477" i="121"/>
  <c r="FX477" i="121"/>
  <c r="EH477" i="121"/>
  <c r="GF477" i="121"/>
  <c r="EG477" i="121"/>
  <c r="BF477" i="121"/>
  <c r="GE477" i="121"/>
  <c r="GD477" i="121"/>
  <c r="GC477" i="121"/>
  <c r="EF477" i="121"/>
  <c r="EE477" i="121"/>
  <c r="LP469" i="121"/>
  <c r="GF469" i="121"/>
  <c r="ER469" i="121"/>
  <c r="CV469" i="121"/>
  <c r="GB469" i="121"/>
  <c r="EE469" i="121"/>
  <c r="AJ469" i="121"/>
  <c r="GD469" i="121"/>
  <c r="ED469" i="121"/>
  <c r="GC469" i="121"/>
  <c r="EB469" i="121"/>
  <c r="FZ469" i="121"/>
  <c r="DL469" i="121"/>
  <c r="FY469" i="121"/>
  <c r="CF469" i="121"/>
  <c r="FH469" i="121"/>
  <c r="EH469" i="121"/>
  <c r="EG469" i="121"/>
  <c r="EF469" i="121"/>
  <c r="HX469" i="121"/>
  <c r="HH469" i="121"/>
  <c r="GR469" i="121"/>
  <c r="GE469" i="121"/>
  <c r="BP469" i="121"/>
  <c r="A449" i="121"/>
  <c r="BT449" i="121"/>
  <c r="DB449" i="121"/>
  <c r="EJ449" i="121"/>
  <c r="IV449" i="121"/>
  <c r="KF449" i="121"/>
  <c r="BA450" i="121"/>
  <c r="CD450" i="121"/>
  <c r="DF450" i="121"/>
  <c r="EK450" i="121"/>
  <c r="FO450" i="121"/>
  <c r="HF450" i="121"/>
  <c r="IN450" i="121"/>
  <c r="KU450" i="121"/>
  <c r="MC450" i="121"/>
  <c r="AL451" i="121"/>
  <c r="CG451" i="121"/>
  <c r="DU451" i="121"/>
  <c r="FN451" i="121"/>
  <c r="HJ451" i="121"/>
  <c r="DD454" i="121"/>
  <c r="CS455" i="121"/>
  <c r="LT455" i="121"/>
  <c r="AD459" i="121"/>
  <c r="FB464" i="121"/>
  <c r="FH449" i="121"/>
  <c r="DN454" i="121"/>
  <c r="CT455" i="121"/>
  <c r="GS455" i="121"/>
  <c r="ER456" i="121"/>
  <c r="EB458" i="121"/>
  <c r="FR459" i="121"/>
  <c r="EU466" i="121"/>
  <c r="LT472" i="121"/>
  <c r="HG472" i="121"/>
  <c r="GO472" i="121"/>
  <c r="FH472" i="121"/>
  <c r="EK472" i="121"/>
  <c r="EA472" i="121"/>
  <c r="CQ472" i="121"/>
  <c r="BD472" i="121"/>
  <c r="AG472" i="121"/>
  <c r="LN472" i="121"/>
  <c r="HF472" i="121"/>
  <c r="GI472" i="121"/>
  <c r="FG472" i="121"/>
  <c r="EJ472" i="121"/>
  <c r="DZ472" i="121"/>
  <c r="CE472" i="121"/>
  <c r="BC472" i="121"/>
  <c r="AF472" i="121"/>
  <c r="MD472" i="121"/>
  <c r="LL472" i="121"/>
  <c r="HV472" i="121"/>
  <c r="GY472" i="121"/>
  <c r="GG472" i="121"/>
  <c r="EZ472" i="121"/>
  <c r="DK472" i="121"/>
  <c r="CA472" i="121"/>
  <c r="AV472" i="121"/>
  <c r="Y472" i="121"/>
  <c r="MC472" i="121"/>
  <c r="HU472" i="121"/>
  <c r="GX472" i="121"/>
  <c r="FQ472" i="121"/>
  <c r="EY472" i="121"/>
  <c r="DJ472" i="121"/>
  <c r="BO472" i="121"/>
  <c r="AU472" i="121"/>
  <c r="X472" i="121"/>
  <c r="MB472" i="121"/>
  <c r="HO472" i="121"/>
  <c r="GW472" i="121"/>
  <c r="FP472" i="121"/>
  <c r="ES472" i="121"/>
  <c r="DG472" i="121"/>
  <c r="BN472" i="121"/>
  <c r="AO472" i="121"/>
  <c r="HM472" i="121"/>
  <c r="ER472" i="121"/>
  <c r="DW472" i="121"/>
  <c r="AM472" i="121"/>
  <c r="HE472" i="121"/>
  <c r="EQ472" i="121"/>
  <c r="CU472" i="121"/>
  <c r="AE472" i="121"/>
  <c r="GQ472" i="121"/>
  <c r="EI472" i="121"/>
  <c r="CT472" i="121"/>
  <c r="GP472" i="121"/>
  <c r="CD472" i="121"/>
  <c r="GH472" i="121"/>
  <c r="FO472" i="121"/>
  <c r="BK472" i="121"/>
  <c r="FI472" i="121"/>
  <c r="BE472" i="121"/>
  <c r="FA472" i="121"/>
  <c r="AW472" i="121"/>
  <c r="LV472" i="121"/>
  <c r="AN472" i="121"/>
  <c r="LU472" i="121"/>
  <c r="HW472" i="121"/>
  <c r="LM472" i="121"/>
  <c r="HN472" i="121"/>
  <c r="MT451" i="121"/>
  <c r="MI451" i="121"/>
  <c r="MQ451" i="121"/>
  <c r="MH451" i="121"/>
  <c r="MO451" i="121"/>
  <c r="MN451" i="121"/>
  <c r="ML451" i="121"/>
  <c r="MP451" i="121"/>
  <c r="A451" i="121"/>
  <c r="MM451" i="121"/>
  <c r="BR449" i="121"/>
  <c r="CC449" i="121"/>
  <c r="DA449" i="121"/>
  <c r="DX449" i="121"/>
  <c r="MG449" i="121"/>
  <c r="M451" i="121"/>
  <c r="G237" i="121"/>
  <c r="MM449" i="121"/>
  <c r="MN449" i="121"/>
  <c r="MT449" i="121"/>
  <c r="MK449" i="121"/>
  <c r="MJ449" i="121"/>
  <c r="MS449" i="121"/>
  <c r="MM474" i="121"/>
  <c r="LZ474" i="121"/>
  <c r="LR474" i="121"/>
  <c r="LJ474" i="121"/>
  <c r="HZ474" i="121"/>
  <c r="HR474" i="121"/>
  <c r="HJ474" i="121"/>
  <c r="HB474" i="121"/>
  <c r="GT474" i="121"/>
  <c r="GL474" i="121"/>
  <c r="GD474" i="121"/>
  <c r="FV474" i="121"/>
  <c r="FN474" i="121"/>
  <c r="FF474" i="121"/>
  <c r="EX474" i="121"/>
  <c r="EP474" i="121"/>
  <c r="EH474" i="121"/>
  <c r="DZ474" i="121"/>
  <c r="DR474" i="121"/>
  <c r="DJ474" i="121"/>
  <c r="DB474" i="121"/>
  <c r="CT474" i="121"/>
  <c r="CL474" i="121"/>
  <c r="CD474" i="121"/>
  <c r="BV474" i="121"/>
  <c r="BN474" i="121"/>
  <c r="BF474" i="121"/>
  <c r="AX474" i="121"/>
  <c r="AP474" i="121"/>
  <c r="ML474" i="121"/>
  <c r="LY474" i="121"/>
  <c r="LQ474" i="121"/>
  <c r="LI474" i="121"/>
  <c r="HY474" i="121"/>
  <c r="HQ474" i="121"/>
  <c r="HI474" i="121"/>
  <c r="HA474" i="121"/>
  <c r="GS474" i="121"/>
  <c r="GK474" i="121"/>
  <c r="GC474" i="121"/>
  <c r="FU474" i="121"/>
  <c r="FM474" i="121"/>
  <c r="FE474" i="121"/>
  <c r="EW474" i="121"/>
  <c r="EO474" i="121"/>
  <c r="EG474" i="121"/>
  <c r="DY474" i="121"/>
  <c r="DQ474" i="121"/>
  <c r="DI474" i="121"/>
  <c r="MN474" i="121"/>
  <c r="LW474" i="121"/>
  <c r="LM474" i="121"/>
  <c r="IA474" i="121"/>
  <c r="HO474" i="121"/>
  <c r="HE474" i="121"/>
  <c r="GU474" i="121"/>
  <c r="GI474" i="121"/>
  <c r="FY474" i="121"/>
  <c r="FO474" i="121"/>
  <c r="FC474" i="121"/>
  <c r="ES474" i="121"/>
  <c r="EI474" i="121"/>
  <c r="DW474" i="121"/>
  <c r="DM474" i="121"/>
  <c r="DC474" i="121"/>
  <c r="CS474" i="121"/>
  <c r="CJ474" i="121"/>
  <c r="CA474" i="121"/>
  <c r="BR474" i="121"/>
  <c r="BI474" i="121"/>
  <c r="AZ474" i="121"/>
  <c r="AQ474" i="121"/>
  <c r="AH474" i="121"/>
  <c r="Z474" i="121"/>
  <c r="MK474" i="121"/>
  <c r="LV474" i="121"/>
  <c r="LL474" i="121"/>
  <c r="HX474" i="121"/>
  <c r="HN474" i="121"/>
  <c r="HD474" i="121"/>
  <c r="GR474" i="121"/>
  <c r="GH474" i="121"/>
  <c r="FX474" i="121"/>
  <c r="FL474" i="121"/>
  <c r="FB474" i="121"/>
  <c r="ER474" i="121"/>
  <c r="EF474" i="121"/>
  <c r="DV474" i="121"/>
  <c r="DL474" i="121"/>
  <c r="DA474" i="121"/>
  <c r="CR474" i="121"/>
  <c r="CI474" i="121"/>
  <c r="BZ474" i="121"/>
  <c r="BQ474" i="121"/>
  <c r="BH474" i="121"/>
  <c r="AY474" i="121"/>
  <c r="AO474" i="121"/>
  <c r="AG474" i="121"/>
  <c r="Y474" i="121"/>
  <c r="MD474" i="121"/>
  <c r="LT474" i="121"/>
  <c r="LH474" i="121"/>
  <c r="HV474" i="121"/>
  <c r="HL474" i="121"/>
  <c r="GZ474" i="121"/>
  <c r="GP474" i="121"/>
  <c r="GF474" i="121"/>
  <c r="FT474" i="121"/>
  <c r="FJ474" i="121"/>
  <c r="EZ474" i="121"/>
  <c r="EN474" i="121"/>
  <c r="ED474" i="121"/>
  <c r="DT474" i="121"/>
  <c r="DH474" i="121"/>
  <c r="CY474" i="121"/>
  <c r="CP474" i="121"/>
  <c r="CG474" i="121"/>
  <c r="BX474" i="121"/>
  <c r="BO474" i="121"/>
  <c r="BE474" i="121"/>
  <c r="AV474" i="121"/>
  <c r="AM474" i="121"/>
  <c r="AE474" i="121"/>
  <c r="MC474" i="121"/>
  <c r="LS474" i="121"/>
  <c r="LG474" i="121"/>
  <c r="HU474" i="121"/>
  <c r="HK474" i="121"/>
  <c r="GY474" i="121"/>
  <c r="GO474" i="121"/>
  <c r="GE474" i="121"/>
  <c r="FS474" i="121"/>
  <c r="FI474" i="121"/>
  <c r="EY474" i="121"/>
  <c r="EM474" i="121"/>
  <c r="EC474" i="121"/>
  <c r="DS474" i="121"/>
  <c r="DG474" i="121"/>
  <c r="CX474" i="121"/>
  <c r="CO474" i="121"/>
  <c r="CF474" i="121"/>
  <c r="BW474" i="121"/>
  <c r="BM474" i="121"/>
  <c r="BD474" i="121"/>
  <c r="AU474" i="121"/>
  <c r="AL474" i="121"/>
  <c r="AD474" i="121"/>
  <c r="MB474" i="121"/>
  <c r="LP474" i="121"/>
  <c r="ID474" i="121"/>
  <c r="HT474" i="121"/>
  <c r="HH474" i="121"/>
  <c r="GX474" i="121"/>
  <c r="GN474" i="121"/>
  <c r="GB474" i="121"/>
  <c r="FR474" i="121"/>
  <c r="FH474" i="121"/>
  <c r="EV474" i="121"/>
  <c r="EL474" i="121"/>
  <c r="EB474" i="121"/>
  <c r="DP474" i="121"/>
  <c r="DF474" i="121"/>
  <c r="CW474" i="121"/>
  <c r="CN474" i="121"/>
  <c r="CE474" i="121"/>
  <c r="BU474" i="121"/>
  <c r="BL474" i="121"/>
  <c r="BC474" i="121"/>
  <c r="AT474" i="121"/>
  <c r="AK474" i="121"/>
  <c r="AC474" i="121"/>
  <c r="LO474" i="121"/>
  <c r="HM474" i="121"/>
  <c r="GJ474" i="121"/>
  <c r="FG474" i="121"/>
  <c r="EE474" i="121"/>
  <c r="DD474" i="121"/>
  <c r="CC474" i="121"/>
  <c r="BG474" i="121"/>
  <c r="AI474" i="121"/>
  <c r="LN474" i="121"/>
  <c r="HG474" i="121"/>
  <c r="GG474" i="121"/>
  <c r="FD474" i="121"/>
  <c r="EA474" i="121"/>
  <c r="CZ474" i="121"/>
  <c r="CB474" i="121"/>
  <c r="BB474" i="121"/>
  <c r="AF474" i="121"/>
  <c r="LK474" i="121"/>
  <c r="HF474" i="121"/>
  <c r="GA474" i="121"/>
  <c r="FA474" i="121"/>
  <c r="DX474" i="121"/>
  <c r="CV474" i="121"/>
  <c r="BY474" i="121"/>
  <c r="BA474" i="121"/>
  <c r="AB474" i="121"/>
  <c r="MO474" i="121"/>
  <c r="IC474" i="121"/>
  <c r="HC474" i="121"/>
  <c r="FZ474" i="121"/>
  <c r="EU474" i="121"/>
  <c r="DU474" i="121"/>
  <c r="CU474" i="121"/>
  <c r="BT474" i="121"/>
  <c r="AW474" i="121"/>
  <c r="AA474" i="121"/>
  <c r="ME474" i="121"/>
  <c r="GW474" i="121"/>
  <c r="ET474" i="121"/>
  <c r="CQ474" i="121"/>
  <c r="AS474" i="121"/>
  <c r="MA474" i="121"/>
  <c r="GV474" i="121"/>
  <c r="EQ474" i="121"/>
  <c r="CM474" i="121"/>
  <c r="AR474" i="121"/>
  <c r="LX474" i="121"/>
  <c r="GQ474" i="121"/>
  <c r="EK474" i="121"/>
  <c r="CK474" i="121"/>
  <c r="AN474" i="121"/>
  <c r="LU474" i="121"/>
  <c r="GM474" i="121"/>
  <c r="EJ474" i="121"/>
  <c r="CH474" i="121"/>
  <c r="AJ474" i="121"/>
  <c r="IB474" i="121"/>
  <c r="DO474" i="121"/>
  <c r="X474" i="121"/>
  <c r="HW474" i="121"/>
  <c r="DN474" i="121"/>
  <c r="HS474" i="121"/>
  <c r="DK474" i="121"/>
  <c r="HP474" i="121"/>
  <c r="DE474" i="121"/>
  <c r="FW474" i="121"/>
  <c r="BS474" i="121"/>
  <c r="FQ474" i="121"/>
  <c r="BP474" i="121"/>
  <c r="FP474" i="121"/>
  <c r="FK474" i="121"/>
  <c r="BK474" i="121"/>
  <c r="BJ474" i="121"/>
  <c r="MM468" i="121"/>
  <c r="MN468" i="121"/>
  <c r="ML468" i="121"/>
  <c r="MK468" i="121"/>
  <c r="MO468" i="121"/>
  <c r="MS468" i="121"/>
  <c r="ML460" i="121"/>
  <c r="MK460" i="121"/>
  <c r="KY449" i="121"/>
  <c r="KQ449" i="121"/>
  <c r="KI449" i="121"/>
  <c r="KA449" i="121"/>
  <c r="JS449" i="121"/>
  <c r="JK449" i="121"/>
  <c r="JC449" i="121"/>
  <c r="IU449" i="121"/>
  <c r="IM449" i="121"/>
  <c r="IE449" i="121"/>
  <c r="LA449" i="121"/>
  <c r="KR449" i="121"/>
  <c r="KH449" i="121"/>
  <c r="JY449" i="121"/>
  <c r="JP449" i="121"/>
  <c r="JG449" i="121"/>
  <c r="IX449" i="121"/>
  <c r="IO449" i="121"/>
  <c r="IF449" i="121"/>
  <c r="KP449" i="121"/>
  <c r="JX449" i="121"/>
  <c r="JF449" i="121"/>
  <c r="IW449" i="121"/>
  <c r="KZ449" i="121"/>
  <c r="KG449" i="121"/>
  <c r="JO449" i="121"/>
  <c r="IN449" i="121"/>
  <c r="LZ463" i="121"/>
  <c r="EH463" i="121"/>
  <c r="GD463" i="121"/>
  <c r="GC463" i="121"/>
  <c r="LY451" i="121"/>
  <c r="LQ451" i="121"/>
  <c r="LI451" i="121"/>
  <c r="HY451" i="121"/>
  <c r="HQ451" i="121"/>
  <c r="HI451" i="121"/>
  <c r="HA451" i="121"/>
  <c r="GS451" i="121"/>
  <c r="GK451" i="121"/>
  <c r="GC451" i="121"/>
  <c r="FU451" i="121"/>
  <c r="FM451" i="121"/>
  <c r="FE451" i="121"/>
  <c r="EW451" i="121"/>
  <c r="LX451" i="121"/>
  <c r="LP451" i="121"/>
  <c r="LH451" i="121"/>
  <c r="MB451" i="121"/>
  <c r="LR451" i="121"/>
  <c r="HU451" i="121"/>
  <c r="HL451" i="121"/>
  <c r="HC451" i="121"/>
  <c r="GT451" i="121"/>
  <c r="GJ451" i="121"/>
  <c r="GA451" i="121"/>
  <c r="FR451" i="121"/>
  <c r="FI451" i="121"/>
  <c r="EZ451" i="121"/>
  <c r="EQ451" i="121"/>
  <c r="EI451" i="121"/>
  <c r="EA451" i="121"/>
  <c r="DS451" i="121"/>
  <c r="DK451" i="121"/>
  <c r="DC451" i="121"/>
  <c r="CU451" i="121"/>
  <c r="CM451" i="121"/>
  <c r="CE451" i="121"/>
  <c r="BW451" i="121"/>
  <c r="BO451" i="121"/>
  <c r="BG451" i="121"/>
  <c r="AY451" i="121"/>
  <c r="AQ451" i="121"/>
  <c r="AI451" i="121"/>
  <c r="AA451" i="121"/>
  <c r="MA451" i="121"/>
  <c r="LO451" i="121"/>
  <c r="HT451" i="121"/>
  <c r="HK451" i="121"/>
  <c r="HB451" i="121"/>
  <c r="GR451" i="121"/>
  <c r="GI451" i="121"/>
  <c r="FZ451" i="121"/>
  <c r="FQ451" i="121"/>
  <c r="FH451" i="121"/>
  <c r="EY451" i="121"/>
  <c r="EP451" i="121"/>
  <c r="EH451" i="121"/>
  <c r="DZ451" i="121"/>
  <c r="DR451" i="121"/>
  <c r="DJ451" i="121"/>
  <c r="DB451" i="121"/>
  <c r="CT451" i="121"/>
  <c r="CL451" i="121"/>
  <c r="CD451" i="121"/>
  <c r="BV451" i="121"/>
  <c r="LW451" i="121"/>
  <c r="LM451" i="121"/>
  <c r="HR451" i="121"/>
  <c r="HH451" i="121"/>
  <c r="GY451" i="121"/>
  <c r="GP451" i="121"/>
  <c r="GG451" i="121"/>
  <c r="FX451" i="121"/>
  <c r="FO451" i="121"/>
  <c r="FF451" i="121"/>
  <c r="EV451" i="121"/>
  <c r="EN451" i="121"/>
  <c r="EF451" i="121"/>
  <c r="DX451" i="121"/>
  <c r="DP451" i="121"/>
  <c r="DH451" i="121"/>
  <c r="CZ451" i="121"/>
  <c r="CR451" i="121"/>
  <c r="CJ451" i="121"/>
  <c r="LZ451" i="121"/>
  <c r="LJ451" i="121"/>
  <c r="HW451" i="121"/>
  <c r="HG451" i="121"/>
  <c r="GU451" i="121"/>
  <c r="GE451" i="121"/>
  <c r="FP451" i="121"/>
  <c r="FB451" i="121"/>
  <c r="EM451" i="121"/>
  <c r="EB451" i="121"/>
  <c r="DN451" i="121"/>
  <c r="DA451" i="121"/>
  <c r="CO451" i="121"/>
  <c r="CB451" i="121"/>
  <c r="BR451" i="121"/>
  <c r="BI451" i="121"/>
  <c r="AZ451" i="121"/>
  <c r="AP451" i="121"/>
  <c r="AG451" i="121"/>
  <c r="X451" i="121"/>
  <c r="LU451" i="121"/>
  <c r="HS451" i="121"/>
  <c r="HE451" i="121"/>
  <c r="GO451" i="121"/>
  <c r="GB451" i="121"/>
  <c r="FL451" i="121"/>
  <c r="EX451" i="121"/>
  <c r="EK451" i="121"/>
  <c r="DW451" i="121"/>
  <c r="DL451" i="121"/>
  <c r="CX451" i="121"/>
  <c r="CK451" i="121"/>
  <c r="BZ451" i="121"/>
  <c r="BP451" i="121"/>
  <c r="BF451" i="121"/>
  <c r="AW451" i="121"/>
  <c r="AN451" i="121"/>
  <c r="AE451" i="121"/>
  <c r="LT451" i="121"/>
  <c r="HP451" i="121"/>
  <c r="GN451" i="121"/>
  <c r="FY451" i="121"/>
  <c r="EU451" i="121"/>
  <c r="DV451" i="121"/>
  <c r="CI451" i="121"/>
  <c r="BN451" i="121"/>
  <c r="AV451" i="121"/>
  <c r="AD451" i="121"/>
  <c r="HD451" i="121"/>
  <c r="FK451" i="121"/>
  <c r="EJ451" i="121"/>
  <c r="DI451" i="121"/>
  <c r="CW451" i="121"/>
  <c r="BY451" i="121"/>
  <c r="BE451" i="121"/>
  <c r="AM451" i="121"/>
  <c r="FK459" i="121"/>
  <c r="AF449" i="121"/>
  <c r="BJ449" i="121"/>
  <c r="BU449" i="121"/>
  <c r="CR449" i="121"/>
  <c r="DN449" i="121"/>
  <c r="EK449" i="121"/>
  <c r="EW449" i="121"/>
  <c r="FV449" i="121"/>
  <c r="GP449" i="121"/>
  <c r="HB449" i="121"/>
  <c r="IK449" i="121"/>
  <c r="JV449" i="121"/>
  <c r="LF449" i="121"/>
  <c r="Z450" i="121"/>
  <c r="BR450" i="121"/>
  <c r="DJ450" i="121"/>
  <c r="FP450" i="121"/>
  <c r="HI450" i="121"/>
  <c r="KV450" i="121"/>
  <c r="Z451" i="121"/>
  <c r="BS451" i="121"/>
  <c r="DY451" i="121"/>
  <c r="GM451" i="121"/>
  <c r="X449" i="121"/>
  <c r="AG449" i="121"/>
  <c r="AQ449" i="121"/>
  <c r="BA449" i="121"/>
  <c r="BL449" i="121"/>
  <c r="BV449" i="121"/>
  <c r="CF449" i="121"/>
  <c r="CS449" i="121"/>
  <c r="DD449" i="121"/>
  <c r="DP449" i="121"/>
  <c r="EC449" i="121"/>
  <c r="EL449" i="121"/>
  <c r="EX449" i="121"/>
  <c r="FL449" i="121"/>
  <c r="FW449" i="121"/>
  <c r="GR449" i="121"/>
  <c r="HE449" i="121"/>
  <c r="HQ449" i="121"/>
  <c r="IL449" i="121"/>
  <c r="IZ449" i="121"/>
  <c r="JL449" i="121"/>
  <c r="JW449" i="121"/>
  <c r="KK449" i="121"/>
  <c r="KV449" i="121"/>
  <c r="LH449" i="121"/>
  <c r="ML449" i="121"/>
  <c r="AA450" i="121"/>
  <c r="AQ450" i="121"/>
  <c r="BD450" i="121"/>
  <c r="BT450" i="121"/>
  <c r="CH450" i="121"/>
  <c r="CV450" i="121"/>
  <c r="DL450" i="121"/>
  <c r="DY450" i="121"/>
  <c r="EO450" i="121"/>
  <c r="FD450" i="121"/>
  <c r="FQ450" i="121"/>
  <c r="GG450" i="121"/>
  <c r="GT450" i="121"/>
  <c r="HJ450" i="121"/>
  <c r="HY450" i="121"/>
  <c r="IR450" i="121"/>
  <c r="JX450" i="121"/>
  <c r="KY450" i="121"/>
  <c r="LS450" i="121"/>
  <c r="MJ450" i="121"/>
  <c r="AB451" i="121"/>
  <c r="AR451" i="121"/>
  <c r="BD451" i="121"/>
  <c r="BT451" i="121"/>
  <c r="CN451" i="121"/>
  <c r="DF451" i="121"/>
  <c r="EC451" i="121"/>
  <c r="ET451" i="121"/>
  <c r="FT451" i="121"/>
  <c r="GQ451" i="121"/>
  <c r="HN451" i="121"/>
  <c r="MD451" i="121"/>
  <c r="EG453" i="121"/>
  <c r="HY453" i="121"/>
  <c r="LQ453" i="121"/>
  <c r="CH454" i="121"/>
  <c r="DO454" i="121"/>
  <c r="AW455" i="121"/>
  <c r="EV455" i="121"/>
  <c r="GT455" i="121"/>
  <c r="MD455" i="121"/>
  <c r="Y456" i="121"/>
  <c r="DW456" i="121"/>
  <c r="ES456" i="121"/>
  <c r="LP456" i="121"/>
  <c r="BD458" i="121"/>
  <c r="AG464" i="121"/>
  <c r="EV466" i="121"/>
  <c r="AM480" i="121"/>
  <c r="GU480" i="121"/>
  <c r="BD480" i="121"/>
  <c r="AN480" i="121"/>
  <c r="HS480" i="121"/>
  <c r="FU480" i="121"/>
  <c r="CR480" i="121"/>
  <c r="FV480" i="121"/>
  <c r="CO480" i="121"/>
  <c r="FE480" i="121"/>
  <c r="BK480" i="121"/>
  <c r="HT480" i="121"/>
  <c r="FD480" i="121"/>
  <c r="BJ480" i="121"/>
  <c r="HM480" i="121"/>
  <c r="EX480" i="121"/>
  <c r="AL480" i="121"/>
  <c r="GW480" i="121"/>
  <c r="GV480" i="121"/>
  <c r="LM480" i="121"/>
  <c r="LL480" i="121"/>
  <c r="DD480" i="121"/>
  <c r="GD473" i="121"/>
  <c r="EQ473" i="121"/>
  <c r="LN473" i="121"/>
  <c r="EG473" i="121"/>
  <c r="IE473" i="121"/>
  <c r="AX473" i="121"/>
  <c r="ID473" i="121"/>
  <c r="AB473" i="121"/>
  <c r="GF473" i="121"/>
  <c r="GE473" i="121"/>
  <c r="EH473" i="121"/>
  <c r="LV465" i="121"/>
  <c r="HR465" i="121"/>
  <c r="GA465" i="121"/>
  <c r="EH465" i="121"/>
  <c r="BV465" i="121"/>
  <c r="KO465" i="121"/>
  <c r="HJ465" i="121"/>
  <c r="FZ465" i="121"/>
  <c r="EE465" i="121"/>
  <c r="BN465" i="121"/>
  <c r="JI465" i="121"/>
  <c r="GT465" i="121"/>
  <c r="FR465" i="121"/>
  <c r="DZ465" i="121"/>
  <c r="AX465" i="121"/>
  <c r="MN465" i="121"/>
  <c r="HZ465" i="121"/>
  <c r="FB465" i="121"/>
  <c r="BF465" i="121"/>
  <c r="ML465" i="121"/>
  <c r="HB465" i="121"/>
  <c r="ET465" i="121"/>
  <c r="AP465" i="121"/>
  <c r="MI465" i="121"/>
  <c r="GL465" i="121"/>
  <c r="EL465" i="121"/>
  <c r="MD465" i="121"/>
  <c r="GD465" i="121"/>
  <c r="ED465" i="121"/>
  <c r="JY465" i="121"/>
  <c r="GC465" i="121"/>
  <c r="DR465" i="121"/>
  <c r="IS465" i="121"/>
  <c r="GB465" i="121"/>
  <c r="DJ465" i="121"/>
  <c r="ID465" i="121"/>
  <c r="IC465" i="121"/>
  <c r="FY465" i="121"/>
  <c r="FJ465" i="121"/>
  <c r="DB465" i="121"/>
  <c r="CD465" i="121"/>
  <c r="KO457" i="121"/>
  <c r="HZ457" i="121"/>
  <c r="FY457" i="121"/>
  <c r="FA457" i="121"/>
  <c r="EE457" i="121"/>
  <c r="DE457" i="121"/>
  <c r="BY457" i="121"/>
  <c r="AS457" i="121"/>
  <c r="JY457" i="121"/>
  <c r="GF457" i="121"/>
  <c r="FX457" i="121"/>
  <c r="EW457" i="121"/>
  <c r="ED457" i="121"/>
  <c r="DA457" i="121"/>
  <c r="BU457" i="121"/>
  <c r="AO457" i="121"/>
  <c r="MT457" i="121"/>
  <c r="JC457" i="121"/>
  <c r="GD457" i="121"/>
  <c r="FU457" i="121"/>
  <c r="EO457" i="121"/>
  <c r="DY457" i="121"/>
  <c r="CS457" i="121"/>
  <c r="BM457" i="121"/>
  <c r="AG457" i="121"/>
  <c r="IX457" i="121"/>
  <c r="FZ457" i="121"/>
  <c r="EH457" i="121"/>
  <c r="CW457" i="121"/>
  <c r="BA457" i="121"/>
  <c r="IH457" i="121"/>
  <c r="FW457" i="121"/>
  <c r="EG457" i="121"/>
  <c r="CO457" i="121"/>
  <c r="AW457" i="121"/>
  <c r="ID457" i="121"/>
  <c r="FQ457" i="121"/>
  <c r="EF457" i="121"/>
  <c r="CK457" i="121"/>
  <c r="AK457" i="121"/>
  <c r="LM457" i="121"/>
  <c r="GE457" i="121"/>
  <c r="FI457" i="121"/>
  <c r="DU457" i="121"/>
  <c r="CC457" i="121"/>
  <c r="Y457" i="121"/>
  <c r="KT457" i="121"/>
  <c r="ES457" i="121"/>
  <c r="BI457" i="121"/>
  <c r="JS457" i="121"/>
  <c r="EK457" i="121"/>
  <c r="BE457" i="121"/>
  <c r="IA457" i="121"/>
  <c r="EC457" i="121"/>
  <c r="AC457" i="121"/>
  <c r="GC457" i="121"/>
  <c r="DQ457" i="121"/>
  <c r="GA457" i="121"/>
  <c r="FM457" i="121"/>
  <c r="FE457" i="121"/>
  <c r="DM457" i="121"/>
  <c r="CM479" i="121"/>
  <c r="FX479" i="121"/>
  <c r="DL479" i="121"/>
  <c r="BP479" i="121"/>
  <c r="EB479" i="121"/>
  <c r="DK479" i="121"/>
  <c r="DE479" i="121"/>
  <c r="CO479" i="121"/>
  <c r="CN479" i="121"/>
  <c r="BW479" i="121"/>
  <c r="BQ479" i="121"/>
  <c r="FY479" i="121"/>
  <c r="EC479" i="121"/>
  <c r="GA455" i="121"/>
  <c r="DW455" i="121"/>
  <c r="DO455" i="121"/>
  <c r="DG455" i="121"/>
  <c r="CY455" i="121"/>
  <c r="CQ455" i="121"/>
  <c r="CI455" i="121"/>
  <c r="CA455" i="121"/>
  <c r="BS455" i="121"/>
  <c r="FZ455" i="121"/>
  <c r="DV455" i="121"/>
  <c r="DN455" i="121"/>
  <c r="DF455" i="121"/>
  <c r="CX455" i="121"/>
  <c r="CP455" i="121"/>
  <c r="CH455" i="121"/>
  <c r="BZ455" i="121"/>
  <c r="BR455" i="121"/>
  <c r="FY455" i="121"/>
  <c r="EC455" i="121"/>
  <c r="DU455" i="121"/>
  <c r="DM455" i="121"/>
  <c r="DE455" i="121"/>
  <c r="CW455" i="121"/>
  <c r="CO455" i="121"/>
  <c r="CG455" i="121"/>
  <c r="BY455" i="121"/>
  <c r="BQ455" i="121"/>
  <c r="EB455" i="121"/>
  <c r="DQ455" i="121"/>
  <c r="DC455" i="121"/>
  <c r="CR455" i="121"/>
  <c r="CD455" i="121"/>
  <c r="BP455" i="121"/>
  <c r="EA455" i="121"/>
  <c r="DP455" i="121"/>
  <c r="DB455" i="121"/>
  <c r="CN455" i="121"/>
  <c r="CC455" i="121"/>
  <c r="BO455" i="121"/>
  <c r="FX455" i="121"/>
  <c r="DZ455" i="121"/>
  <c r="DL455" i="121"/>
  <c r="DA455" i="121"/>
  <c r="CM455" i="121"/>
  <c r="CB455" i="121"/>
  <c r="BN455" i="121"/>
  <c r="FW455" i="121"/>
  <c r="DY455" i="121"/>
  <c r="DK455" i="121"/>
  <c r="CZ455" i="121"/>
  <c r="CL455" i="121"/>
  <c r="BX455" i="121"/>
  <c r="BM455" i="121"/>
  <c r="DI455" i="121"/>
  <c r="CJ455" i="121"/>
  <c r="DH455" i="121"/>
  <c r="CF455" i="121"/>
  <c r="DD455" i="121"/>
  <c r="CE455" i="121"/>
  <c r="DX455" i="121"/>
  <c r="CV455" i="121"/>
  <c r="BW455" i="121"/>
  <c r="ME449" i="121"/>
  <c r="LW449" i="121"/>
  <c r="HW449" i="121"/>
  <c r="HO449" i="121"/>
  <c r="HG449" i="121"/>
  <c r="GY449" i="121"/>
  <c r="GQ449" i="121"/>
  <c r="GI449" i="121"/>
  <c r="MD449" i="121"/>
  <c r="LU449" i="121"/>
  <c r="MB449" i="121"/>
  <c r="LS449" i="121"/>
  <c r="HV449" i="121"/>
  <c r="HM449" i="121"/>
  <c r="HD449" i="121"/>
  <c r="GU449" i="121"/>
  <c r="GL449" i="121"/>
  <c r="LR449" i="121"/>
  <c r="MA449" i="121"/>
  <c r="HU449" i="121"/>
  <c r="HL449" i="121"/>
  <c r="HC449" i="121"/>
  <c r="GT449" i="121"/>
  <c r="GK449" i="121"/>
  <c r="IC479" i="121"/>
  <c r="MN479" i="121"/>
  <c r="IB479" i="121"/>
  <c r="HK449" i="121"/>
  <c r="FA464" i="121"/>
  <c r="LT479" i="121"/>
  <c r="LJ479" i="121"/>
  <c r="HS479" i="121"/>
  <c r="GV479" i="121"/>
  <c r="FS479" i="121"/>
  <c r="LS479" i="121"/>
  <c r="LI479" i="121"/>
  <c r="HM479" i="121"/>
  <c r="GU479" i="121"/>
  <c r="FR479" i="121"/>
  <c r="FJ479" i="121"/>
  <c r="FB479" i="121"/>
  <c r="ET479" i="121"/>
  <c r="EL479" i="121"/>
  <c r="BG479" i="121"/>
  <c r="AY479" i="121"/>
  <c r="AQ479" i="121"/>
  <c r="AI479" i="121"/>
  <c r="AA479" i="121"/>
  <c r="MC479" i="121"/>
  <c r="LN479" i="121"/>
  <c r="HE479" i="121"/>
  <c r="GM479" i="121"/>
  <c r="FO479" i="121"/>
  <c r="FG479" i="121"/>
  <c r="EY479" i="121"/>
  <c r="EQ479" i="121"/>
  <c r="EI479" i="121"/>
  <c r="BD479" i="121"/>
  <c r="AV479" i="121"/>
  <c r="AN479" i="121"/>
  <c r="AF479" i="121"/>
  <c r="X479" i="121"/>
  <c r="LP479" i="121"/>
  <c r="HU479" i="121"/>
  <c r="GN479" i="121"/>
  <c r="FT479" i="121"/>
  <c r="FH479" i="121"/>
  <c r="EW479" i="121"/>
  <c r="EM479" i="121"/>
  <c r="BJ479" i="121"/>
  <c r="AZ479" i="121"/>
  <c r="AO479" i="121"/>
  <c r="AD479" i="121"/>
  <c r="LO479" i="121"/>
  <c r="HT479" i="121"/>
  <c r="GG479" i="121"/>
  <c r="FQ479" i="121"/>
  <c r="FF479" i="121"/>
  <c r="EV479" i="121"/>
  <c r="EK479" i="121"/>
  <c r="BI479" i="121"/>
  <c r="AX479" i="121"/>
  <c r="AM479" i="121"/>
  <c r="AC479" i="121"/>
  <c r="LM479" i="121"/>
  <c r="HL479" i="121"/>
  <c r="FP479" i="121"/>
  <c r="FE479" i="121"/>
  <c r="EU479" i="121"/>
  <c r="EJ479" i="121"/>
  <c r="BH479" i="121"/>
  <c r="AW479" i="121"/>
  <c r="AL479" i="121"/>
  <c r="AB479" i="121"/>
  <c r="LL479" i="121"/>
  <c r="HK479" i="121"/>
  <c r="FN479" i="121"/>
  <c r="FD479" i="121"/>
  <c r="ES479" i="121"/>
  <c r="BF479" i="121"/>
  <c r="AU479" i="121"/>
  <c r="AK479" i="121"/>
  <c r="Z479" i="121"/>
  <c r="HD479" i="121"/>
  <c r="FM479" i="121"/>
  <c r="ER479" i="121"/>
  <c r="AT479" i="121"/>
  <c r="Y479" i="121"/>
  <c r="MB479" i="121"/>
  <c r="HC479" i="121"/>
  <c r="FL479" i="121"/>
  <c r="EP479" i="121"/>
  <c r="AS479" i="121"/>
  <c r="MA479" i="121"/>
  <c r="GW479" i="121"/>
  <c r="FK479" i="121"/>
  <c r="EO479" i="121"/>
  <c r="AR479" i="121"/>
  <c r="LU479" i="121"/>
  <c r="GO479" i="121"/>
  <c r="FI479" i="121"/>
  <c r="EN479" i="121"/>
  <c r="BK479" i="121"/>
  <c r="AP479" i="121"/>
  <c r="LK479" i="121"/>
  <c r="FC479" i="121"/>
  <c r="BE479" i="121"/>
  <c r="LH479" i="121"/>
  <c r="FA479" i="121"/>
  <c r="BC479" i="121"/>
  <c r="LG479" i="121"/>
  <c r="EZ479" i="121"/>
  <c r="BB479" i="121"/>
  <c r="EX479" i="121"/>
  <c r="BA479" i="121"/>
  <c r="AJ479" i="121"/>
  <c r="AH479" i="121"/>
  <c r="FV479" i="121"/>
  <c r="FU479" i="121"/>
  <c r="AG479" i="121"/>
  <c r="AE479" i="121"/>
  <c r="LM458" i="121"/>
  <c r="KZ458" i="121"/>
  <c r="JI458" i="121"/>
  <c r="IB458" i="121"/>
  <c r="GD458" i="121"/>
  <c r="FV458" i="121"/>
  <c r="FN458" i="121"/>
  <c r="FF458" i="121"/>
  <c r="EX458" i="121"/>
  <c r="EP458" i="121"/>
  <c r="EH458" i="121"/>
  <c r="DZ458" i="121"/>
  <c r="DR458" i="121"/>
  <c r="DJ458" i="121"/>
  <c r="DB458" i="121"/>
  <c r="CT458" i="121"/>
  <c r="CL458" i="121"/>
  <c r="CD458" i="121"/>
  <c r="BV458" i="121"/>
  <c r="BN458" i="121"/>
  <c r="BF458" i="121"/>
  <c r="AX458" i="121"/>
  <c r="AP458" i="121"/>
  <c r="AH458" i="121"/>
  <c r="Z458" i="121"/>
  <c r="LL458" i="121"/>
  <c r="KU458" i="121"/>
  <c r="JD458" i="121"/>
  <c r="IA458" i="121"/>
  <c r="GC458" i="121"/>
  <c r="FU458" i="121"/>
  <c r="FM458" i="121"/>
  <c r="FE458" i="121"/>
  <c r="EW458" i="121"/>
  <c r="EO458" i="121"/>
  <c r="EG458" i="121"/>
  <c r="DY458" i="121"/>
  <c r="DQ458" i="121"/>
  <c r="DI458" i="121"/>
  <c r="DA458" i="121"/>
  <c r="CS458" i="121"/>
  <c r="CK458" i="121"/>
  <c r="CC458" i="121"/>
  <c r="BU458" i="121"/>
  <c r="BM458" i="121"/>
  <c r="BE458" i="121"/>
  <c r="AW458" i="121"/>
  <c r="AO458" i="121"/>
  <c r="AG458" i="121"/>
  <c r="Y458" i="121"/>
  <c r="MR458" i="121"/>
  <c r="LJ458" i="121"/>
  <c r="KJ458" i="121"/>
  <c r="IS458" i="121"/>
  <c r="HY458" i="121"/>
  <c r="GA458" i="121"/>
  <c r="FS458" i="121"/>
  <c r="FK458" i="121"/>
  <c r="FC458" i="121"/>
  <c r="EU458" i="121"/>
  <c r="EM458" i="121"/>
  <c r="EE458" i="121"/>
  <c r="DW458" i="121"/>
  <c r="DO458" i="121"/>
  <c r="DG458" i="121"/>
  <c r="CY458" i="121"/>
  <c r="CQ458" i="121"/>
  <c r="CI458" i="121"/>
  <c r="CA458" i="121"/>
  <c r="BS458" i="121"/>
  <c r="BK458" i="121"/>
  <c r="BC458" i="121"/>
  <c r="AU458" i="121"/>
  <c r="AM458" i="121"/>
  <c r="AE458" i="121"/>
  <c r="LO458" i="121"/>
  <c r="KE458" i="121"/>
  <c r="IC458" i="121"/>
  <c r="FY458" i="121"/>
  <c r="FL458" i="121"/>
  <c r="EZ458" i="121"/>
  <c r="EL458" i="121"/>
  <c r="EA458" i="121"/>
  <c r="DM458" i="121"/>
  <c r="CZ458" i="121"/>
  <c r="CN458" i="121"/>
  <c r="BZ458" i="121"/>
  <c r="BO458" i="121"/>
  <c r="BA458" i="121"/>
  <c r="AN458" i="121"/>
  <c r="AB458" i="121"/>
  <c r="LN458" i="121"/>
  <c r="JY458" i="121"/>
  <c r="HZ458" i="121"/>
  <c r="FX458" i="121"/>
  <c r="FJ458" i="121"/>
  <c r="EY458" i="121"/>
  <c r="EK458" i="121"/>
  <c r="DX458" i="121"/>
  <c r="DL458" i="121"/>
  <c r="CX458" i="121"/>
  <c r="CM458" i="121"/>
  <c r="BY458" i="121"/>
  <c r="BL458" i="121"/>
  <c r="AZ458" i="121"/>
  <c r="AL458" i="121"/>
  <c r="AA458" i="121"/>
  <c r="LK458" i="121"/>
  <c r="JT458" i="121"/>
  <c r="HI458" i="121"/>
  <c r="FW458" i="121"/>
  <c r="FI458" i="121"/>
  <c r="EV458" i="121"/>
  <c r="EJ458" i="121"/>
  <c r="DV458" i="121"/>
  <c r="DK458" i="121"/>
  <c r="CW458" i="121"/>
  <c r="CJ458" i="121"/>
  <c r="BX458" i="121"/>
  <c r="BJ458" i="121"/>
  <c r="AY458" i="121"/>
  <c r="AK458" i="121"/>
  <c r="X458" i="121"/>
  <c r="LH458" i="121"/>
  <c r="IY458" i="121"/>
  <c r="GF458" i="121"/>
  <c r="FR458" i="121"/>
  <c r="FG458" i="121"/>
  <c r="ES458" i="121"/>
  <c r="EF458" i="121"/>
  <c r="DT458" i="121"/>
  <c r="DF458" i="121"/>
  <c r="CU458" i="121"/>
  <c r="CG458" i="121"/>
  <c r="BT458" i="121"/>
  <c r="BH458" i="121"/>
  <c r="AT458" i="121"/>
  <c r="AI458" i="121"/>
  <c r="LV458" i="121"/>
  <c r="II458" i="121"/>
  <c r="FP458" i="121"/>
  <c r="EQ458" i="121"/>
  <c r="DP458" i="121"/>
  <c r="CP458" i="121"/>
  <c r="BQ458" i="121"/>
  <c r="AR458" i="121"/>
  <c r="LP458" i="121"/>
  <c r="ID458" i="121"/>
  <c r="FO458" i="121"/>
  <c r="EN458" i="121"/>
  <c r="DN458" i="121"/>
  <c r="CO458" i="121"/>
  <c r="BP458" i="121"/>
  <c r="AQ458" i="121"/>
  <c r="LI458" i="121"/>
  <c r="GS458" i="121"/>
  <c r="FH458" i="121"/>
  <c r="EI458" i="121"/>
  <c r="DH458" i="121"/>
  <c r="CH458" i="121"/>
  <c r="BI458" i="121"/>
  <c r="AJ458" i="121"/>
  <c r="LG458" i="121"/>
  <c r="GE458" i="121"/>
  <c r="FD458" i="121"/>
  <c r="ED458" i="121"/>
  <c r="DE458" i="121"/>
  <c r="CF458" i="121"/>
  <c r="BG458" i="121"/>
  <c r="AF458" i="121"/>
  <c r="KO458" i="121"/>
  <c r="FA458" i="121"/>
  <c r="DC458" i="121"/>
  <c r="BB458" i="121"/>
  <c r="JO458" i="121"/>
  <c r="ET458" i="121"/>
  <c r="CV458" i="121"/>
  <c r="AV458" i="121"/>
  <c r="IN458" i="121"/>
  <c r="ER458" i="121"/>
  <c r="CR458" i="121"/>
  <c r="AS458" i="121"/>
  <c r="GB458" i="121"/>
  <c r="EC458" i="121"/>
  <c r="CE458" i="121"/>
  <c r="AD458" i="121"/>
  <c r="MN452" i="121"/>
  <c r="MM452" i="121"/>
  <c r="MO452" i="121"/>
  <c r="ML452" i="121"/>
  <c r="MH452" i="121"/>
  <c r="MT452" i="121"/>
  <c r="FW470" i="121"/>
  <c r="EA470" i="121"/>
  <c r="DS470" i="121"/>
  <c r="DK470" i="121"/>
  <c r="DC470" i="121"/>
  <c r="CU470" i="121"/>
  <c r="CM470" i="121"/>
  <c r="CE470" i="121"/>
  <c r="BW470" i="121"/>
  <c r="BO470" i="121"/>
  <c r="GA470" i="121"/>
  <c r="DW470" i="121"/>
  <c r="DO470" i="121"/>
  <c r="DG470" i="121"/>
  <c r="CY470" i="121"/>
  <c r="CQ470" i="121"/>
  <c r="CI470" i="121"/>
  <c r="CA470" i="121"/>
  <c r="BS470" i="121"/>
  <c r="FY470" i="121"/>
  <c r="EB470" i="121"/>
  <c r="DQ470" i="121"/>
  <c r="DF470" i="121"/>
  <c r="CV470" i="121"/>
  <c r="CK470" i="121"/>
  <c r="BZ470" i="121"/>
  <c r="BP470" i="121"/>
  <c r="FX470" i="121"/>
  <c r="DZ470" i="121"/>
  <c r="DP470" i="121"/>
  <c r="DE470" i="121"/>
  <c r="CT470" i="121"/>
  <c r="CJ470" i="121"/>
  <c r="BY470" i="121"/>
  <c r="BN470" i="121"/>
  <c r="DY470" i="121"/>
  <c r="DN470" i="121"/>
  <c r="DD470" i="121"/>
  <c r="CS470" i="121"/>
  <c r="CH470" i="121"/>
  <c r="BX470" i="121"/>
  <c r="BM470" i="121"/>
  <c r="DX470" i="121"/>
  <c r="DM470" i="121"/>
  <c r="DB470" i="121"/>
  <c r="CR470" i="121"/>
  <c r="CG470" i="121"/>
  <c r="BV470" i="121"/>
  <c r="BL470" i="121"/>
  <c r="DL470" i="121"/>
  <c r="CP470" i="121"/>
  <c r="BU470" i="121"/>
  <c r="DJ470" i="121"/>
  <c r="CO470" i="121"/>
  <c r="BT470" i="121"/>
  <c r="DI470" i="121"/>
  <c r="CN470" i="121"/>
  <c r="BR470" i="121"/>
  <c r="EC470" i="121"/>
  <c r="DH470" i="121"/>
  <c r="CL470" i="121"/>
  <c r="BQ470" i="121"/>
  <c r="DR470" i="121"/>
  <c r="CB470" i="121"/>
  <c r="DA470" i="121"/>
  <c r="CZ470" i="121"/>
  <c r="CX470" i="121"/>
  <c r="CW470" i="121"/>
  <c r="DV470" i="121"/>
  <c r="CF470" i="121"/>
  <c r="DU470" i="121"/>
  <c r="DT470" i="121"/>
  <c r="FZ470" i="121"/>
  <c r="CD470" i="121"/>
  <c r="CC470" i="121"/>
  <c r="LP483" i="121"/>
  <c r="HU483" i="121"/>
  <c r="GP483" i="121"/>
  <c r="FY483" i="121"/>
  <c r="FN483" i="121"/>
  <c r="FD483" i="121"/>
  <c r="ES483" i="121"/>
  <c r="EH483" i="121"/>
  <c r="DX483" i="121"/>
  <c r="DO483" i="121"/>
  <c r="DG483" i="121"/>
  <c r="CY483" i="121"/>
  <c r="CQ483" i="121"/>
  <c r="CI483" i="121"/>
  <c r="CA483" i="121"/>
  <c r="BS483" i="121"/>
  <c r="BK483" i="121"/>
  <c r="BC483" i="121"/>
  <c r="AU483" i="121"/>
  <c r="AM483" i="121"/>
  <c r="AE483" i="121"/>
  <c r="LN483" i="121"/>
  <c r="HT483" i="121"/>
  <c r="GO483" i="121"/>
  <c r="FX483" i="121"/>
  <c r="FM483" i="121"/>
  <c r="FB483" i="121"/>
  <c r="ER483" i="121"/>
  <c r="EG483" i="121"/>
  <c r="DV483" i="121"/>
  <c r="DN483" i="121"/>
  <c r="DF483" i="121"/>
  <c r="CX483" i="121"/>
  <c r="CP483" i="121"/>
  <c r="CH483" i="121"/>
  <c r="BZ483" i="121"/>
  <c r="BR483" i="121"/>
  <c r="BJ483" i="121"/>
  <c r="BB483" i="121"/>
  <c r="AT483" i="121"/>
  <c r="AL483" i="121"/>
  <c r="AD483" i="121"/>
  <c r="MB483" i="121"/>
  <c r="LJ483" i="121"/>
  <c r="HI483" i="121"/>
  <c r="GD483" i="121"/>
  <c r="FT483" i="121"/>
  <c r="FI483" i="121"/>
  <c r="EX483" i="121"/>
  <c r="EN483" i="121"/>
  <c r="EC483" i="121"/>
  <c r="DS483" i="121"/>
  <c r="DK483" i="121"/>
  <c r="DC483" i="121"/>
  <c r="CU483" i="121"/>
  <c r="CM483" i="121"/>
  <c r="CE483" i="121"/>
  <c r="BW483" i="121"/>
  <c r="BO483" i="121"/>
  <c r="BG483" i="121"/>
  <c r="AY483" i="121"/>
  <c r="AQ483" i="121"/>
  <c r="AI483" i="121"/>
  <c r="AA483" i="121"/>
  <c r="LR483" i="121"/>
  <c r="HJ483" i="121"/>
  <c r="FZ483" i="121"/>
  <c r="FH483" i="121"/>
  <c r="EP483" i="121"/>
  <c r="DZ483" i="121"/>
  <c r="DL483" i="121"/>
  <c r="CZ483" i="121"/>
  <c r="CL483" i="121"/>
  <c r="BY483" i="121"/>
  <c r="BM483" i="121"/>
  <c r="AZ483" i="121"/>
  <c r="AN483" i="121"/>
  <c r="Z483" i="121"/>
  <c r="LQ483" i="121"/>
  <c r="HA483" i="121"/>
  <c r="FV483" i="121"/>
  <c r="FF483" i="121"/>
  <c r="EO483" i="121"/>
  <c r="DY483" i="121"/>
  <c r="DJ483" i="121"/>
  <c r="CW483" i="121"/>
  <c r="CK483" i="121"/>
  <c r="BX483" i="121"/>
  <c r="BL483" i="121"/>
  <c r="AX483" i="121"/>
  <c r="AK483" i="121"/>
  <c r="Y483" i="121"/>
  <c r="LM483" i="121"/>
  <c r="GZ483" i="121"/>
  <c r="FU483" i="121"/>
  <c r="FE483" i="121"/>
  <c r="EL483" i="121"/>
  <c r="DU483" i="121"/>
  <c r="DI483" i="121"/>
  <c r="CV483" i="121"/>
  <c r="CJ483" i="121"/>
  <c r="BV483" i="121"/>
  <c r="BI483" i="121"/>
  <c r="AW483" i="121"/>
  <c r="AJ483" i="121"/>
  <c r="X483" i="121"/>
  <c r="LL483" i="121"/>
  <c r="GX483" i="121"/>
  <c r="FR483" i="121"/>
  <c r="FA483" i="121"/>
  <c r="EK483" i="121"/>
  <c r="DT483" i="121"/>
  <c r="DH483" i="121"/>
  <c r="CT483" i="121"/>
  <c r="CG483" i="121"/>
  <c r="BU483" i="121"/>
  <c r="BH483" i="121"/>
  <c r="AV483" i="121"/>
  <c r="AH483" i="121"/>
  <c r="LT483" i="121"/>
  <c r="GB483" i="121"/>
  <c r="ET483" i="121"/>
  <c r="DM483" i="121"/>
  <c r="CN483" i="121"/>
  <c r="BN483" i="121"/>
  <c r="AO483" i="121"/>
  <c r="LI483" i="121"/>
  <c r="FQ483" i="121"/>
  <c r="EJ483" i="121"/>
  <c r="DE483" i="121"/>
  <c r="CF483" i="121"/>
  <c r="BF483" i="121"/>
  <c r="AG483" i="121"/>
  <c r="LH483" i="121"/>
  <c r="FP483" i="121"/>
  <c r="EF483" i="121"/>
  <c r="DD483" i="121"/>
  <c r="CD483" i="121"/>
  <c r="BE483" i="121"/>
  <c r="AF483" i="121"/>
  <c r="HV483" i="121"/>
  <c r="FL483" i="121"/>
  <c r="ED483" i="121"/>
  <c r="DB483" i="121"/>
  <c r="CC483" i="121"/>
  <c r="BD483" i="121"/>
  <c r="AC483" i="121"/>
  <c r="FJ483" i="121"/>
  <c r="DA483" i="121"/>
  <c r="BA483" i="121"/>
  <c r="EZ483" i="121"/>
  <c r="CS483" i="121"/>
  <c r="AS483" i="121"/>
  <c r="MD483" i="121"/>
  <c r="EW483" i="121"/>
  <c r="CR483" i="121"/>
  <c r="AR483" i="121"/>
  <c r="MC483" i="121"/>
  <c r="EV483" i="121"/>
  <c r="CO483" i="121"/>
  <c r="AP483" i="121"/>
  <c r="HL483" i="121"/>
  <c r="EB483" i="121"/>
  <c r="CB483" i="121"/>
  <c r="AB483" i="121"/>
  <c r="GN483" i="121"/>
  <c r="DR483" i="121"/>
  <c r="BT483" i="121"/>
  <c r="BQ483" i="121"/>
  <c r="BP483" i="121"/>
  <c r="GF483" i="121"/>
  <c r="GC483" i="121"/>
  <c r="DQ483" i="121"/>
  <c r="DP483" i="121"/>
  <c r="ME475" i="121"/>
  <c r="LT475" i="121"/>
  <c r="LJ475" i="121"/>
  <c r="HV475" i="121"/>
  <c r="HK475" i="121"/>
  <c r="GW475" i="121"/>
  <c r="GM475" i="121"/>
  <c r="GC475" i="121"/>
  <c r="FU475" i="121"/>
  <c r="FM475" i="121"/>
  <c r="FE475" i="121"/>
  <c r="EW475" i="121"/>
  <c r="EO475" i="121"/>
  <c r="EG475" i="121"/>
  <c r="DY475" i="121"/>
  <c r="DQ475" i="121"/>
  <c r="DI475" i="121"/>
  <c r="DA475" i="121"/>
  <c r="CS475" i="121"/>
  <c r="CK475" i="121"/>
  <c r="CC475" i="121"/>
  <c r="MC475" i="121"/>
  <c r="LP475" i="121"/>
  <c r="LH475" i="121"/>
  <c r="HT475" i="121"/>
  <c r="HF475" i="121"/>
  <c r="GU475" i="121"/>
  <c r="GI475" i="121"/>
  <c r="GA475" i="121"/>
  <c r="FS475" i="121"/>
  <c r="FK475" i="121"/>
  <c r="FC475" i="121"/>
  <c r="EU475" i="121"/>
  <c r="EM475" i="121"/>
  <c r="EE475" i="121"/>
  <c r="DW475" i="121"/>
  <c r="DO475" i="121"/>
  <c r="DG475" i="121"/>
  <c r="CY475" i="121"/>
  <c r="CQ475" i="121"/>
  <c r="CI475" i="121"/>
  <c r="LW475" i="121"/>
  <c r="LK475" i="121"/>
  <c r="HS475" i="121"/>
  <c r="HC475" i="121"/>
  <c r="GN475" i="121"/>
  <c r="FZ475" i="121"/>
  <c r="FP475" i="121"/>
  <c r="FF475" i="121"/>
  <c r="ET475" i="121"/>
  <c r="EJ475" i="121"/>
  <c r="DZ475" i="121"/>
  <c r="DN475" i="121"/>
  <c r="DD475" i="121"/>
  <c r="CT475" i="121"/>
  <c r="CH475" i="121"/>
  <c r="BY475" i="121"/>
  <c r="BQ475" i="121"/>
  <c r="BI475" i="121"/>
  <c r="BA475" i="121"/>
  <c r="AS475" i="121"/>
  <c r="AK475" i="121"/>
  <c r="AC475" i="121"/>
  <c r="LV475" i="121"/>
  <c r="LI475" i="121"/>
  <c r="HO475" i="121"/>
  <c r="GY475" i="121"/>
  <c r="GL475" i="121"/>
  <c r="FY475" i="121"/>
  <c r="FO475" i="121"/>
  <c r="FD475" i="121"/>
  <c r="ES475" i="121"/>
  <c r="EI475" i="121"/>
  <c r="DX475" i="121"/>
  <c r="DM475" i="121"/>
  <c r="DC475" i="121"/>
  <c r="CR475" i="121"/>
  <c r="CG475" i="121"/>
  <c r="BX475" i="121"/>
  <c r="BP475" i="121"/>
  <c r="BH475" i="121"/>
  <c r="AZ475" i="121"/>
  <c r="AR475" i="121"/>
  <c r="AJ475" i="121"/>
  <c r="AB475" i="121"/>
  <c r="LU475" i="121"/>
  <c r="LS475" i="121"/>
  <c r="HM475" i="121"/>
  <c r="MA475" i="121"/>
  <c r="HW475" i="121"/>
  <c r="GV475" i="121"/>
  <c r="GE475" i="121"/>
  <c r="FQ475" i="121"/>
  <c r="FA475" i="121"/>
  <c r="EN475" i="121"/>
  <c r="EA475" i="121"/>
  <c r="DK475" i="121"/>
  <c r="CW475" i="121"/>
  <c r="CJ475" i="121"/>
  <c r="BV475" i="121"/>
  <c r="BL475" i="121"/>
  <c r="BB475" i="121"/>
  <c r="AP475" i="121"/>
  <c r="AF475" i="121"/>
  <c r="LO475" i="121"/>
  <c r="HU475" i="121"/>
  <c r="GT475" i="121"/>
  <c r="GD475" i="121"/>
  <c r="FN475" i="121"/>
  <c r="EZ475" i="121"/>
  <c r="EL475" i="121"/>
  <c r="DV475" i="121"/>
  <c r="DJ475" i="121"/>
  <c r="CV475" i="121"/>
  <c r="CF475" i="121"/>
  <c r="BU475" i="121"/>
  <c r="BK475" i="121"/>
  <c r="AY475" i="121"/>
  <c r="AO475" i="121"/>
  <c r="AE475" i="121"/>
  <c r="LM475" i="121"/>
  <c r="HL475" i="121"/>
  <c r="GP475" i="121"/>
  <c r="FX475" i="121"/>
  <c r="FJ475" i="121"/>
  <c r="EX475" i="121"/>
  <c r="EH475" i="121"/>
  <c r="DT475" i="121"/>
  <c r="DF475" i="121"/>
  <c r="CP475" i="121"/>
  <c r="CD475" i="121"/>
  <c r="BS475" i="121"/>
  <c r="BG475" i="121"/>
  <c r="AW475" i="121"/>
  <c r="AM475" i="121"/>
  <c r="AA475" i="121"/>
  <c r="LL475" i="121"/>
  <c r="HG475" i="121"/>
  <c r="GO475" i="121"/>
  <c r="FW475" i="121"/>
  <c r="FI475" i="121"/>
  <c r="EV475" i="121"/>
  <c r="EF475" i="121"/>
  <c r="DS475" i="121"/>
  <c r="DE475" i="121"/>
  <c r="CO475" i="121"/>
  <c r="CB475" i="121"/>
  <c r="BR475" i="121"/>
  <c r="BF475" i="121"/>
  <c r="AV475" i="121"/>
  <c r="AL475" i="121"/>
  <c r="Z475" i="121"/>
  <c r="LG475" i="121"/>
  <c r="HE475" i="121"/>
  <c r="GH475" i="121"/>
  <c r="FV475" i="121"/>
  <c r="FH475" i="121"/>
  <c r="ER475" i="121"/>
  <c r="ED475" i="121"/>
  <c r="DR475" i="121"/>
  <c r="DB475" i="121"/>
  <c r="CN475" i="121"/>
  <c r="CA475" i="121"/>
  <c r="BO475" i="121"/>
  <c r="BE475" i="121"/>
  <c r="AU475" i="121"/>
  <c r="AI475" i="121"/>
  <c r="Y475" i="121"/>
  <c r="HD475" i="121"/>
  <c r="FL475" i="121"/>
  <c r="EB475" i="121"/>
  <c r="CM475" i="121"/>
  <c r="BJ475" i="121"/>
  <c r="AG475" i="121"/>
  <c r="GX475" i="121"/>
  <c r="FG475" i="121"/>
  <c r="DU475" i="121"/>
  <c r="CL475" i="121"/>
  <c r="BD475" i="121"/>
  <c r="AD475" i="121"/>
  <c r="MD475" i="121"/>
  <c r="GQ475" i="121"/>
  <c r="FB475" i="121"/>
  <c r="DP475" i="121"/>
  <c r="CE475" i="121"/>
  <c r="BC475" i="121"/>
  <c r="X475" i="121"/>
  <c r="MB475" i="121"/>
  <c r="GG475" i="121"/>
  <c r="EY475" i="121"/>
  <c r="DL475" i="121"/>
  <c r="BZ475" i="121"/>
  <c r="AX475" i="121"/>
  <c r="LN475" i="121"/>
  <c r="EQ475" i="121"/>
  <c r="BW475" i="121"/>
  <c r="EP475" i="121"/>
  <c r="BT475" i="121"/>
  <c r="EK475" i="121"/>
  <c r="BN475" i="121"/>
  <c r="HN475" i="121"/>
  <c r="EC475" i="121"/>
  <c r="BM475" i="121"/>
  <c r="DH475" i="121"/>
  <c r="CZ475" i="121"/>
  <c r="CX475" i="121"/>
  <c r="CU475" i="121"/>
  <c r="GF475" i="121"/>
  <c r="AT475" i="121"/>
  <c r="GB475" i="121"/>
  <c r="AQ475" i="121"/>
  <c r="FT475" i="121"/>
  <c r="MC467" i="121"/>
  <c r="LU467" i="121"/>
  <c r="LM467" i="121"/>
  <c r="HV467" i="121"/>
  <c r="HN467" i="121"/>
  <c r="HF467" i="121"/>
  <c r="GX467" i="121"/>
  <c r="GP467" i="121"/>
  <c r="GH467" i="121"/>
  <c r="FZ467" i="121"/>
  <c r="FR467" i="121"/>
  <c r="FJ467" i="121"/>
  <c r="FB467" i="121"/>
  <c r="ET467" i="121"/>
  <c r="EL467" i="121"/>
  <c r="ED467" i="121"/>
  <c r="DV467" i="121"/>
  <c r="DN467" i="121"/>
  <c r="DF467" i="121"/>
  <c r="CX467" i="121"/>
  <c r="CP467" i="121"/>
  <c r="CH467" i="121"/>
  <c r="BZ467" i="121"/>
  <c r="BR467" i="121"/>
  <c r="BJ467" i="121"/>
  <c r="BB467" i="121"/>
  <c r="AT467" i="121"/>
  <c r="AL467" i="121"/>
  <c r="AD467" i="121"/>
  <c r="MB467" i="121"/>
  <c r="LT467" i="121"/>
  <c r="LL467" i="121"/>
  <c r="HU467" i="121"/>
  <c r="HM467" i="121"/>
  <c r="HE467" i="121"/>
  <c r="GW467" i="121"/>
  <c r="GO467" i="121"/>
  <c r="GG467" i="121"/>
  <c r="FY467" i="121"/>
  <c r="FQ467" i="121"/>
  <c r="FI467" i="121"/>
  <c r="FA467" i="121"/>
  <c r="ES467" i="121"/>
  <c r="EK467" i="121"/>
  <c r="EC467" i="121"/>
  <c r="DU467" i="121"/>
  <c r="DM467" i="121"/>
  <c r="DE467" i="121"/>
  <c r="CW467" i="121"/>
  <c r="CO467" i="121"/>
  <c r="CG467" i="121"/>
  <c r="BY467" i="121"/>
  <c r="BQ467" i="121"/>
  <c r="BI467" i="121"/>
  <c r="BA467" i="121"/>
  <c r="AS467" i="121"/>
  <c r="AK467" i="121"/>
  <c r="AC467" i="121"/>
  <c r="MA467" i="121"/>
  <c r="LS467" i="121"/>
  <c r="LK467" i="121"/>
  <c r="HT467" i="121"/>
  <c r="HL467" i="121"/>
  <c r="HD467" i="121"/>
  <c r="GV467" i="121"/>
  <c r="GN467" i="121"/>
  <c r="GF467" i="121"/>
  <c r="FX467" i="121"/>
  <c r="FP467" i="121"/>
  <c r="FH467" i="121"/>
  <c r="EZ467" i="121"/>
  <c r="ER467" i="121"/>
  <c r="EJ467" i="121"/>
  <c r="EB467" i="121"/>
  <c r="DT467" i="121"/>
  <c r="DL467" i="121"/>
  <c r="DD467" i="121"/>
  <c r="CV467" i="121"/>
  <c r="CN467" i="121"/>
  <c r="CF467" i="121"/>
  <c r="BX467" i="121"/>
  <c r="BP467" i="121"/>
  <c r="BH467" i="121"/>
  <c r="AZ467" i="121"/>
  <c r="AR467" i="121"/>
  <c r="AJ467" i="121"/>
  <c r="AB467" i="121"/>
  <c r="LZ467" i="121"/>
  <c r="LR467" i="121"/>
  <c r="LJ467" i="121"/>
  <c r="HS467" i="121"/>
  <c r="HK467" i="121"/>
  <c r="HC467" i="121"/>
  <c r="GU467" i="121"/>
  <c r="GM467" i="121"/>
  <c r="GE467" i="121"/>
  <c r="FW467" i="121"/>
  <c r="FO467" i="121"/>
  <c r="FG467" i="121"/>
  <c r="EY467" i="121"/>
  <c r="EQ467" i="121"/>
  <c r="EI467" i="121"/>
  <c r="EA467" i="121"/>
  <c r="DS467" i="121"/>
  <c r="DK467" i="121"/>
  <c r="DC467" i="121"/>
  <c r="CU467" i="121"/>
  <c r="CM467" i="121"/>
  <c r="CE467" i="121"/>
  <c r="BW467" i="121"/>
  <c r="BO467" i="121"/>
  <c r="LV467" i="121"/>
  <c r="HW467" i="121"/>
  <c r="HG467" i="121"/>
  <c r="GQ467" i="121"/>
  <c r="GA467" i="121"/>
  <c r="FK467" i="121"/>
  <c r="EU467" i="121"/>
  <c r="EE467" i="121"/>
  <c r="DO467" i="121"/>
  <c r="CY467" i="121"/>
  <c r="CI467" i="121"/>
  <c r="BS467" i="121"/>
  <c r="BD467" i="121"/>
  <c r="AP467" i="121"/>
  <c r="AE467" i="121"/>
  <c r="LQ467" i="121"/>
  <c r="HR467" i="121"/>
  <c r="HB467" i="121"/>
  <c r="GL467" i="121"/>
  <c r="FV467" i="121"/>
  <c r="FF467" i="121"/>
  <c r="EP467" i="121"/>
  <c r="DZ467" i="121"/>
  <c r="DJ467" i="121"/>
  <c r="CT467" i="121"/>
  <c r="CD467" i="121"/>
  <c r="BN467" i="121"/>
  <c r="BC467" i="121"/>
  <c r="AO467" i="121"/>
  <c r="AA467" i="121"/>
  <c r="ME467" i="121"/>
  <c r="LO467" i="121"/>
  <c r="HP467" i="121"/>
  <c r="GZ467" i="121"/>
  <c r="GJ467" i="121"/>
  <c r="FT467" i="121"/>
  <c r="FD467" i="121"/>
  <c r="EN467" i="121"/>
  <c r="DX467" i="121"/>
  <c r="DH467" i="121"/>
  <c r="CR467" i="121"/>
  <c r="CB467" i="121"/>
  <c r="BL467" i="121"/>
  <c r="AX467" i="121"/>
  <c r="AM467" i="121"/>
  <c r="Y467" i="121"/>
  <c r="LN467" i="121"/>
  <c r="HH467" i="121"/>
  <c r="GD467" i="121"/>
  <c r="FE467" i="121"/>
  <c r="EG467" i="121"/>
  <c r="DG467" i="121"/>
  <c r="CJ467" i="121"/>
  <c r="BG467" i="121"/>
  <c r="AN467" i="121"/>
  <c r="LI467" i="121"/>
  <c r="HA467" i="121"/>
  <c r="GC467" i="121"/>
  <c r="FC467" i="121"/>
  <c r="EF467" i="121"/>
  <c r="DB467" i="121"/>
  <c r="CC467" i="121"/>
  <c r="BF467" i="121"/>
  <c r="AI467" i="121"/>
  <c r="LH467" i="121"/>
  <c r="HY467" i="121"/>
  <c r="GY467" i="121"/>
  <c r="GB467" i="121"/>
  <c r="EX467" i="121"/>
  <c r="DY467" i="121"/>
  <c r="DA467" i="121"/>
  <c r="CA467" i="121"/>
  <c r="BE467" i="121"/>
  <c r="AH467" i="121"/>
  <c r="MD467" i="121"/>
  <c r="LG467" i="121"/>
  <c r="HX467" i="121"/>
  <c r="GT467" i="121"/>
  <c r="FU467" i="121"/>
  <c r="EW467" i="121"/>
  <c r="DW467" i="121"/>
  <c r="CZ467" i="121"/>
  <c r="BV467" i="121"/>
  <c r="AY467" i="121"/>
  <c r="AG467" i="121"/>
  <c r="LY467" i="121"/>
  <c r="HQ467" i="121"/>
  <c r="GS467" i="121"/>
  <c r="FS467" i="121"/>
  <c r="EV467" i="121"/>
  <c r="DR467" i="121"/>
  <c r="CS467" i="121"/>
  <c r="BU467" i="121"/>
  <c r="AW467" i="121"/>
  <c r="AF467" i="121"/>
  <c r="LX467" i="121"/>
  <c r="HO467" i="121"/>
  <c r="GR467" i="121"/>
  <c r="FN467" i="121"/>
  <c r="EO467" i="121"/>
  <c r="DQ467" i="121"/>
  <c r="CQ467" i="121"/>
  <c r="BT467" i="121"/>
  <c r="AV467" i="121"/>
  <c r="Z467" i="121"/>
  <c r="LW467" i="121"/>
  <c r="HJ467" i="121"/>
  <c r="DP467" i="121"/>
  <c r="X467" i="121"/>
  <c r="LP467" i="121"/>
  <c r="HI467" i="121"/>
  <c r="DI467" i="121"/>
  <c r="GK467" i="121"/>
  <c r="CL467" i="121"/>
  <c r="GI467" i="121"/>
  <c r="CK467" i="121"/>
  <c r="FM467" i="121"/>
  <c r="FL467" i="121"/>
  <c r="EM467" i="121"/>
  <c r="EH467" i="121"/>
  <c r="LG459" i="121"/>
  <c r="GC459" i="121"/>
  <c r="FT459" i="121"/>
  <c r="FJ459" i="121"/>
  <c r="EY459" i="121"/>
  <c r="EN459" i="121"/>
  <c r="EE459" i="121"/>
  <c r="DT459" i="121"/>
  <c r="DJ459" i="121"/>
  <c r="CY459" i="121"/>
  <c r="CN459" i="121"/>
  <c r="CD459" i="121"/>
  <c r="BS459" i="121"/>
  <c r="BH459" i="121"/>
  <c r="AX459" i="121"/>
  <c r="AM459" i="121"/>
  <c r="AA459" i="121"/>
  <c r="LP459" i="121"/>
  <c r="GB459" i="121"/>
  <c r="FS459" i="121"/>
  <c r="FH459" i="121"/>
  <c r="EX459" i="121"/>
  <c r="EM459" i="121"/>
  <c r="ED459" i="121"/>
  <c r="DS459" i="121"/>
  <c r="DH459" i="121"/>
  <c r="CX459" i="121"/>
  <c r="CM459" i="121"/>
  <c r="CB459" i="121"/>
  <c r="BR459" i="121"/>
  <c r="BG459" i="121"/>
  <c r="AV459" i="121"/>
  <c r="AJ459" i="121"/>
  <c r="Z459" i="121"/>
  <c r="LM459" i="121"/>
  <c r="HN459" i="121"/>
  <c r="FZ459" i="121"/>
  <c r="FP459" i="121"/>
  <c r="FF459" i="121"/>
  <c r="EU459" i="121"/>
  <c r="EJ459" i="121"/>
  <c r="EA459" i="121"/>
  <c r="DP459" i="121"/>
  <c r="DF459" i="121"/>
  <c r="CU459" i="121"/>
  <c r="CJ459" i="121"/>
  <c r="BZ459" i="121"/>
  <c r="BO459" i="121"/>
  <c r="BD459" i="121"/>
  <c r="AT459" i="121"/>
  <c r="AH459" i="121"/>
  <c r="LL459" i="121"/>
  <c r="GE459" i="121"/>
  <c r="FO459" i="121"/>
  <c r="EZ459" i="121"/>
  <c r="EH459" i="121"/>
  <c r="DR459" i="121"/>
  <c r="DB459" i="121"/>
  <c r="CI459" i="121"/>
  <c r="BT459" i="121"/>
  <c r="BB459" i="121"/>
  <c r="AI459" i="121"/>
  <c r="LK459" i="121"/>
  <c r="GD459" i="121"/>
  <c r="FN459" i="121"/>
  <c r="EV459" i="121"/>
  <c r="EG459" i="121"/>
  <c r="DO459" i="121"/>
  <c r="CZ459" i="121"/>
  <c r="CH459" i="121"/>
  <c r="BP459" i="121"/>
  <c r="AZ459" i="121"/>
  <c r="AF459" i="121"/>
  <c r="LI459" i="121"/>
  <c r="GA459" i="121"/>
  <c r="FL459" i="121"/>
  <c r="ET459" i="121"/>
  <c r="EF459" i="121"/>
  <c r="DN459" i="121"/>
  <c r="CV459" i="121"/>
  <c r="CF459" i="121"/>
  <c r="BN459" i="121"/>
  <c r="AY459" i="121"/>
  <c r="AE459" i="121"/>
  <c r="FX459" i="121"/>
  <c r="FG459" i="121"/>
  <c r="EQ459" i="121"/>
  <c r="DZ459" i="121"/>
  <c r="DK459" i="121"/>
  <c r="CR459" i="121"/>
  <c r="CA459" i="121"/>
  <c r="BK459" i="121"/>
  <c r="AR459" i="121"/>
  <c r="AB459" i="121"/>
  <c r="GR459" i="121"/>
  <c r="FC459" i="121"/>
  <c r="DW459" i="121"/>
  <c r="CP459" i="121"/>
  <c r="BF459" i="121"/>
  <c r="GF459" i="121"/>
  <c r="FB459" i="121"/>
  <c r="DV459" i="121"/>
  <c r="CL459" i="121"/>
  <c r="BC459" i="121"/>
  <c r="FY459" i="121"/>
  <c r="ER459" i="121"/>
  <c r="DL459" i="121"/>
  <c r="CE459" i="121"/>
  <c r="AU459" i="121"/>
  <c r="FW459" i="121"/>
  <c r="EP459" i="121"/>
  <c r="DG459" i="121"/>
  <c r="BX459" i="121"/>
  <c r="AQ459" i="121"/>
  <c r="LH459" i="121"/>
  <c r="EI459" i="121"/>
  <c r="BV459" i="121"/>
  <c r="EB459" i="121"/>
  <c r="BL459" i="121"/>
  <c r="DX459" i="121"/>
  <c r="BJ459" i="121"/>
  <c r="FV459" i="121"/>
  <c r="DD459" i="121"/>
  <c r="AP459" i="121"/>
  <c r="AD449" i="121"/>
  <c r="CD449" i="121"/>
  <c r="DM449" i="121"/>
  <c r="EV449" i="121"/>
  <c r="FG449" i="121"/>
  <c r="FU449" i="121"/>
  <c r="HA449" i="121"/>
  <c r="JU449" i="121"/>
  <c r="Y450" i="121"/>
  <c r="GB450" i="121"/>
  <c r="BQ451" i="121"/>
  <c r="MK452" i="121"/>
  <c r="EE453" i="121"/>
  <c r="HQ453" i="121"/>
  <c r="EQ455" i="121"/>
  <c r="DG456" i="121"/>
  <c r="LQ457" i="121"/>
  <c r="BM467" i="121"/>
  <c r="AZ449" i="121"/>
  <c r="CE449" i="121"/>
  <c r="EB449" i="121"/>
  <c r="HP449" i="121"/>
  <c r="IY449" i="121"/>
  <c r="KJ449" i="121"/>
  <c r="LV449" i="121"/>
  <c r="AO450" i="121"/>
  <c r="CE450" i="121"/>
  <c r="DX450" i="121"/>
  <c r="EZ450" i="121"/>
  <c r="GE450" i="121"/>
  <c r="IQ450" i="121"/>
  <c r="LR450" i="121"/>
  <c r="AO451" i="121"/>
  <c r="CH451" i="121"/>
  <c r="ES451" i="121"/>
  <c r="HM451" i="121"/>
  <c r="EF453" i="121"/>
  <c r="Y449" i="121"/>
  <c r="AH449" i="121"/>
  <c r="AR449" i="121"/>
  <c r="BB449" i="121"/>
  <c r="BM449" i="121"/>
  <c r="BW449" i="121"/>
  <c r="CH449" i="121"/>
  <c r="CT449" i="121"/>
  <c r="DE449" i="121"/>
  <c r="DS449" i="121"/>
  <c r="EN449" i="121"/>
  <c r="EY449" i="121"/>
  <c r="FM449" i="121"/>
  <c r="FX449" i="121"/>
  <c r="GG449" i="121"/>
  <c r="GS449" i="121"/>
  <c r="HF449" i="121"/>
  <c r="HR449" i="121"/>
  <c r="IP449" i="121"/>
  <c r="JA449" i="121"/>
  <c r="JM449" i="121"/>
  <c r="JZ449" i="121"/>
  <c r="KL449" i="121"/>
  <c r="KW449" i="121"/>
  <c r="LK449" i="121"/>
  <c r="LY449" i="121"/>
  <c r="MO449" i="121"/>
  <c r="AB450" i="121"/>
  <c r="AR450" i="121"/>
  <c r="BG450" i="121"/>
  <c r="BU450" i="121"/>
  <c r="CK450" i="121"/>
  <c r="CW450" i="121"/>
  <c r="DM450" i="121"/>
  <c r="EB450" i="121"/>
  <c r="EP450" i="121"/>
  <c r="FF450" i="121"/>
  <c r="FR450" i="121"/>
  <c r="GH450" i="121"/>
  <c r="GW450" i="121"/>
  <c r="HK450" i="121"/>
  <c r="IA450" i="121"/>
  <c r="IV450" i="121"/>
  <c r="KB450" i="121"/>
  <c r="LD450" i="121"/>
  <c r="LT450" i="121"/>
  <c r="ML450" i="121"/>
  <c r="AC451" i="121"/>
  <c r="AS451" i="121"/>
  <c r="BH451" i="121"/>
  <c r="BU451" i="121"/>
  <c r="CP451" i="121"/>
  <c r="DG451" i="121"/>
  <c r="ED451" i="121"/>
  <c r="FA451" i="121"/>
  <c r="FV451" i="121"/>
  <c r="GV451" i="121"/>
  <c r="HO451" i="121"/>
  <c r="LG451" i="121"/>
  <c r="ME451" i="121"/>
  <c r="BE453" i="121"/>
  <c r="CI454" i="121"/>
  <c r="BL455" i="121"/>
  <c r="DJ455" i="121"/>
  <c r="FH455" i="121"/>
  <c r="HI455" i="121"/>
  <c r="AC456" i="121"/>
  <c r="EB456" i="121"/>
  <c r="ET456" i="121"/>
  <c r="BQ457" i="121"/>
  <c r="BR458" i="121"/>
  <c r="FQ458" i="121"/>
  <c r="CQ459" i="121"/>
  <c r="AH464" i="121"/>
  <c r="FI466" i="121"/>
  <c r="LX464" i="121"/>
  <c r="LL464" i="121"/>
  <c r="HX464" i="121"/>
  <c r="HN464" i="121"/>
  <c r="HB464" i="121"/>
  <c r="GR464" i="121"/>
  <c r="GH464" i="121"/>
  <c r="FR464" i="121"/>
  <c r="FF464" i="121"/>
  <c r="EV464" i="121"/>
  <c r="EL464" i="121"/>
  <c r="DZ464" i="121"/>
  <c r="DP464" i="121"/>
  <c r="DG464" i="121"/>
  <c r="CY464" i="121"/>
  <c r="CQ464" i="121"/>
  <c r="CI464" i="121"/>
  <c r="CA464" i="121"/>
  <c r="BS464" i="121"/>
  <c r="BK464" i="121"/>
  <c r="BC464" i="121"/>
  <c r="AU464" i="121"/>
  <c r="AM464" i="121"/>
  <c r="AE464" i="121"/>
  <c r="LU464" i="121"/>
  <c r="LK464" i="121"/>
  <c r="HW464" i="121"/>
  <c r="HM464" i="121"/>
  <c r="HA464" i="121"/>
  <c r="GQ464" i="121"/>
  <c r="GG464" i="121"/>
  <c r="FQ464" i="121"/>
  <c r="FE464" i="121"/>
  <c r="EU464" i="121"/>
  <c r="EK464" i="121"/>
  <c r="DY464" i="121"/>
  <c r="DO464" i="121"/>
  <c r="DF464" i="121"/>
  <c r="CX464" i="121"/>
  <c r="CP464" i="121"/>
  <c r="CH464" i="121"/>
  <c r="BZ464" i="121"/>
  <c r="BR464" i="121"/>
  <c r="BJ464" i="121"/>
  <c r="BB464" i="121"/>
  <c r="AT464" i="121"/>
  <c r="AL464" i="121"/>
  <c r="AD464" i="121"/>
  <c r="MC464" i="121"/>
  <c r="LS464" i="121"/>
  <c r="LI464" i="121"/>
  <c r="HU464" i="121"/>
  <c r="HI464" i="121"/>
  <c r="GY464" i="121"/>
  <c r="GO464" i="121"/>
  <c r="FM464" i="121"/>
  <c r="FC464" i="121"/>
  <c r="ES464" i="121"/>
  <c r="DW464" i="121"/>
  <c r="DM464" i="121"/>
  <c r="DD464" i="121"/>
  <c r="CV464" i="121"/>
  <c r="CN464" i="121"/>
  <c r="CF464" i="121"/>
  <c r="BX464" i="121"/>
  <c r="BP464" i="121"/>
  <c r="BH464" i="121"/>
  <c r="AZ464" i="121"/>
  <c r="AR464" i="121"/>
  <c r="AJ464" i="121"/>
  <c r="AB464" i="121"/>
  <c r="MB464" i="121"/>
  <c r="LM464" i="121"/>
  <c r="HQ464" i="121"/>
  <c r="GZ464" i="121"/>
  <c r="GJ464" i="121"/>
  <c r="FN464" i="121"/>
  <c r="EX464" i="121"/>
  <c r="DR464" i="121"/>
  <c r="DC464" i="121"/>
  <c r="CR464" i="121"/>
  <c r="CD464" i="121"/>
  <c r="BQ464" i="121"/>
  <c r="BE464" i="121"/>
  <c r="AQ464" i="121"/>
  <c r="AF464" i="121"/>
  <c r="MA464" i="121"/>
  <c r="LJ464" i="121"/>
  <c r="HP464" i="121"/>
  <c r="GX464" i="121"/>
  <c r="GI464" i="121"/>
  <c r="FL464" i="121"/>
  <c r="EW464" i="121"/>
  <c r="DQ464" i="121"/>
  <c r="DB464" i="121"/>
  <c r="CO464" i="121"/>
  <c r="CC464" i="121"/>
  <c r="BO464" i="121"/>
  <c r="BD464" i="121"/>
  <c r="AP464" i="121"/>
  <c r="AC464" i="121"/>
  <c r="LZ464" i="121"/>
  <c r="LH464" i="121"/>
  <c r="HO464" i="121"/>
  <c r="GW464" i="121"/>
  <c r="FK464" i="121"/>
  <c r="ET464" i="121"/>
  <c r="DN464" i="121"/>
  <c r="DA464" i="121"/>
  <c r="CM464" i="121"/>
  <c r="CB464" i="121"/>
  <c r="BN464" i="121"/>
  <c r="BA464" i="121"/>
  <c r="AO464" i="121"/>
  <c r="AA464" i="121"/>
  <c r="LY464" i="121"/>
  <c r="HJ464" i="121"/>
  <c r="GT464" i="121"/>
  <c r="FJ464" i="121"/>
  <c r="EP464" i="121"/>
  <c r="DL464" i="121"/>
  <c r="CZ464" i="121"/>
  <c r="CL464" i="121"/>
  <c r="BY464" i="121"/>
  <c r="BM464" i="121"/>
  <c r="AY464" i="121"/>
  <c r="AN464" i="121"/>
  <c r="Z464" i="121"/>
  <c r="LT464" i="121"/>
  <c r="HH464" i="121"/>
  <c r="GS464" i="121"/>
  <c r="FV464" i="121"/>
  <c r="FI464" i="121"/>
  <c r="EO464" i="121"/>
  <c r="EC464" i="121"/>
  <c r="DJ464" i="121"/>
  <c r="CW464" i="121"/>
  <c r="CK464" i="121"/>
  <c r="BW464" i="121"/>
  <c r="BL464" i="121"/>
  <c r="AX464" i="121"/>
  <c r="AK464" i="121"/>
  <c r="Y464" i="121"/>
  <c r="LR464" i="121"/>
  <c r="HY464" i="121"/>
  <c r="HG464" i="121"/>
  <c r="GP464" i="121"/>
  <c r="FU464" i="121"/>
  <c r="FD464" i="121"/>
  <c r="EN464" i="121"/>
  <c r="DX464" i="121"/>
  <c r="DI464" i="121"/>
  <c r="CU464" i="121"/>
  <c r="CJ464" i="121"/>
  <c r="BV464" i="121"/>
  <c r="CT464" i="121"/>
  <c r="BF464" i="121"/>
  <c r="CS464" i="121"/>
  <c r="AW464" i="121"/>
  <c r="HV464" i="121"/>
  <c r="FT464" i="121"/>
  <c r="CG464" i="121"/>
  <c r="AV464" i="121"/>
  <c r="HR464" i="121"/>
  <c r="FS464" i="121"/>
  <c r="CE464" i="121"/>
  <c r="AS464" i="121"/>
  <c r="GL464" i="121"/>
  <c r="BU464" i="121"/>
  <c r="GK464" i="121"/>
  <c r="BT464" i="121"/>
  <c r="LQ464" i="121"/>
  <c r="BI464" i="121"/>
  <c r="LP464" i="121"/>
  <c r="BG464" i="121"/>
  <c r="ML467" i="121"/>
  <c r="MK467" i="121"/>
  <c r="DN463" i="121"/>
  <c r="DO463" i="121"/>
  <c r="CI463" i="121"/>
  <c r="CH463" i="121"/>
  <c r="GN449" i="121"/>
  <c r="HY449" i="121"/>
  <c r="LQ449" i="121"/>
  <c r="CA456" i="121"/>
  <c r="DU464" i="121"/>
  <c r="M128" i="121"/>
  <c r="EL463" i="121"/>
  <c r="GX463" i="121"/>
  <c r="GY463" i="121"/>
  <c r="BC463" i="121"/>
  <c r="BB463" i="121"/>
  <c r="FS463" i="121"/>
  <c r="FR463" i="121"/>
  <c r="MN484" i="121"/>
  <c r="MM484" i="121"/>
  <c r="ML484" i="121"/>
  <c r="MK484" i="121"/>
  <c r="MO484" i="121"/>
  <c r="MO476" i="121"/>
  <c r="MN476" i="121"/>
  <c r="MM476" i="121"/>
  <c r="ML476" i="121"/>
  <c r="MK476" i="121"/>
  <c r="A454" i="121"/>
  <c r="DR486" i="121"/>
  <c r="DD486" i="121"/>
  <c r="CT486" i="121"/>
  <c r="CK486" i="121"/>
  <c r="CB486" i="121"/>
  <c r="BS486" i="121"/>
  <c r="FX486" i="121"/>
  <c r="EB486" i="121"/>
  <c r="DQ486" i="121"/>
  <c r="DC486" i="121"/>
  <c r="CS486" i="121"/>
  <c r="CJ486" i="121"/>
  <c r="CA486" i="121"/>
  <c r="BQ486" i="121"/>
  <c r="DY486" i="121"/>
  <c r="DK486" i="121"/>
  <c r="CZ486" i="121"/>
  <c r="CO486" i="121"/>
  <c r="CF486" i="121"/>
  <c r="BW486" i="121"/>
  <c r="BN486" i="121"/>
  <c r="DX486" i="121"/>
  <c r="DB486" i="121"/>
  <c r="CM486" i="121"/>
  <c r="BX486" i="121"/>
  <c r="DT486" i="121"/>
  <c r="DA486" i="121"/>
  <c r="CL486" i="121"/>
  <c r="BV486" i="121"/>
  <c r="DS486" i="121"/>
  <c r="CY486" i="121"/>
  <c r="CI486" i="121"/>
  <c r="BU486" i="121"/>
  <c r="DP486" i="121"/>
  <c r="CV486" i="121"/>
  <c r="CG486" i="121"/>
  <c r="BT486" i="121"/>
  <c r="DL486" i="121"/>
  <c r="CE486" i="121"/>
  <c r="DJ486" i="121"/>
  <c r="CD486" i="121"/>
  <c r="DI486" i="121"/>
  <c r="CC486" i="121"/>
  <c r="DH486" i="121"/>
  <c r="BY486" i="121"/>
  <c r="CU486" i="121"/>
  <c r="CR486" i="121"/>
  <c r="CQ486" i="121"/>
  <c r="CN486" i="121"/>
  <c r="BP486" i="121"/>
  <c r="BO486" i="121"/>
  <c r="BM486" i="121"/>
  <c r="BL486" i="121"/>
  <c r="FW454" i="121"/>
  <c r="EA454" i="121"/>
  <c r="DS454" i="121"/>
  <c r="DK454" i="121"/>
  <c r="DC454" i="121"/>
  <c r="CU454" i="121"/>
  <c r="CM454" i="121"/>
  <c r="CE454" i="121"/>
  <c r="BW454" i="121"/>
  <c r="BO454" i="121"/>
  <c r="DZ454" i="121"/>
  <c r="DR454" i="121"/>
  <c r="DJ454" i="121"/>
  <c r="DB454" i="121"/>
  <c r="CT454" i="121"/>
  <c r="CL454" i="121"/>
  <c r="CD454" i="121"/>
  <c r="BV454" i="121"/>
  <c r="BN454" i="121"/>
  <c r="DV454" i="121"/>
  <c r="DL454" i="121"/>
  <c r="CZ454" i="121"/>
  <c r="CP454" i="121"/>
  <c r="CF454" i="121"/>
  <c r="BT454" i="121"/>
  <c r="DU454" i="121"/>
  <c r="DI454" i="121"/>
  <c r="CY454" i="121"/>
  <c r="CO454" i="121"/>
  <c r="CC454" i="121"/>
  <c r="BS454" i="121"/>
  <c r="GA454" i="121"/>
  <c r="FZ454" i="121"/>
  <c r="EC454" i="121"/>
  <c r="DQ454" i="121"/>
  <c r="DG454" i="121"/>
  <c r="CW454" i="121"/>
  <c r="CK454" i="121"/>
  <c r="CA454" i="121"/>
  <c r="BQ454" i="121"/>
  <c r="EB454" i="121"/>
  <c r="DM454" i="121"/>
  <c r="CS454" i="121"/>
  <c r="CB454" i="121"/>
  <c r="BL454" i="121"/>
  <c r="FY454" i="121"/>
  <c r="DY454" i="121"/>
  <c r="DH454" i="121"/>
  <c r="CR454" i="121"/>
  <c r="BZ454" i="121"/>
  <c r="FX454" i="121"/>
  <c r="DX454" i="121"/>
  <c r="DF454" i="121"/>
  <c r="CQ454" i="121"/>
  <c r="BY454" i="121"/>
  <c r="DW454" i="121"/>
  <c r="DE454" i="121"/>
  <c r="CN454" i="121"/>
  <c r="BX454" i="121"/>
  <c r="GD479" i="121"/>
  <c r="GC479" i="121"/>
  <c r="ED479" i="121"/>
  <c r="GF479" i="121"/>
  <c r="GE479" i="121"/>
  <c r="EH479" i="121"/>
  <c r="GB479" i="121"/>
  <c r="EG479" i="121"/>
  <c r="EF479" i="121"/>
  <c r="EE479" i="121"/>
  <c r="GE471" i="121"/>
  <c r="EG471" i="121"/>
  <c r="GD471" i="121"/>
  <c r="EF471" i="121"/>
  <c r="GB471" i="121"/>
  <c r="ED471" i="121"/>
  <c r="GC471" i="121"/>
  <c r="EH471" i="121"/>
  <c r="EE471" i="121"/>
  <c r="GF471" i="121"/>
  <c r="FZ461" i="121"/>
  <c r="GB461" i="121"/>
  <c r="EH461" i="121"/>
  <c r="GA461" i="121"/>
  <c r="EG461" i="121"/>
  <c r="BE461" i="121"/>
  <c r="BA461" i="121"/>
  <c r="LZ461" i="121"/>
  <c r="MC453" i="121"/>
  <c r="HE453" i="121"/>
  <c r="GE453" i="121"/>
  <c r="FW453" i="121"/>
  <c r="ES453" i="121"/>
  <c r="EC453" i="121"/>
  <c r="CW453" i="121"/>
  <c r="BQ453" i="121"/>
  <c r="AK453" i="121"/>
  <c r="LY453" i="121"/>
  <c r="HA453" i="121"/>
  <c r="GD453" i="121"/>
  <c r="FU453" i="121"/>
  <c r="EO453" i="121"/>
  <c r="DY453" i="121"/>
  <c r="CS453" i="121"/>
  <c r="BM453" i="121"/>
  <c r="AG453" i="121"/>
  <c r="HI453" i="121"/>
  <c r="GB453" i="121"/>
  <c r="FE453" i="121"/>
  <c r="ED453" i="121"/>
  <c r="CK453" i="121"/>
  <c r="AW453" i="121"/>
  <c r="GW453" i="121"/>
  <c r="GA453" i="121"/>
  <c r="FA453" i="121"/>
  <c r="DU453" i="121"/>
  <c r="CG453" i="121"/>
  <c r="AS453" i="121"/>
  <c r="LU453" i="121"/>
  <c r="GO453" i="121"/>
  <c r="FY453" i="121"/>
  <c r="EK453" i="121"/>
  <c r="DM453" i="121"/>
  <c r="BY453" i="121"/>
  <c r="AC453" i="121"/>
  <c r="GS453" i="121"/>
  <c r="FM453" i="121"/>
  <c r="DI453" i="121"/>
  <c r="BA453" i="121"/>
  <c r="GK453" i="121"/>
  <c r="FI453" i="121"/>
  <c r="DE453" i="121"/>
  <c r="AO453" i="121"/>
  <c r="GG453" i="121"/>
  <c r="EW453" i="121"/>
  <c r="DA453" i="121"/>
  <c r="Y453" i="121"/>
  <c r="GF453" i="121"/>
  <c r="EH453" i="121"/>
  <c r="CO453" i="121"/>
  <c r="AO449" i="121"/>
  <c r="BI449" i="121"/>
  <c r="CN449" i="121"/>
  <c r="DY449" i="121"/>
  <c r="GO449" i="121"/>
  <c r="HN449" i="121"/>
  <c r="IJ449" i="121"/>
  <c r="JI449" i="121"/>
  <c r="KT449" i="121"/>
  <c r="LT449" i="121"/>
  <c r="AK450" i="121"/>
  <c r="BP450" i="121"/>
  <c r="CT450" i="121"/>
  <c r="DV450" i="121"/>
  <c r="EY450" i="121"/>
  <c r="GR450" i="121"/>
  <c r="HT450" i="121"/>
  <c r="JO450" i="121"/>
  <c r="LP450" i="121"/>
  <c r="Y451" i="121"/>
  <c r="BB451" i="121"/>
  <c r="DD451" i="121"/>
  <c r="ER451" i="121"/>
  <c r="GL451" i="121"/>
  <c r="LI453" i="121"/>
  <c r="BU454" i="121"/>
  <c r="AR455" i="121"/>
  <c r="GR455" i="121"/>
  <c r="DU458" i="121"/>
  <c r="DV464" i="121"/>
  <c r="BA466" i="121"/>
  <c r="AZ469" i="121"/>
  <c r="AP449" i="121"/>
  <c r="DC449" i="121"/>
  <c r="JJ449" i="121"/>
  <c r="KU449" i="121"/>
  <c r="MI449" i="121"/>
  <c r="BB450" i="121"/>
  <c r="CU450" i="121"/>
  <c r="EN450" i="121"/>
  <c r="GS450" i="121"/>
  <c r="HU450" i="121"/>
  <c r="JT450" i="121"/>
  <c r="MD450" i="121"/>
  <c r="BC451" i="121"/>
  <c r="DE451" i="121"/>
  <c r="FS451" i="121"/>
  <c r="MC451" i="121"/>
  <c r="MP452" i="121"/>
  <c r="HU453" i="121"/>
  <c r="LM453" i="121"/>
  <c r="CG454" i="121"/>
  <c r="AV455" i="121"/>
  <c r="ER455" i="121"/>
  <c r="LU455" i="121"/>
  <c r="DI456" i="121"/>
  <c r="AC458" i="121"/>
  <c r="AN459" i="121"/>
  <c r="X464" i="121"/>
  <c r="FR475" i="121"/>
  <c r="Z449" i="121"/>
  <c r="AI449" i="121"/>
  <c r="AS449" i="121"/>
  <c r="BD449" i="121"/>
  <c r="BN449" i="121"/>
  <c r="BY449" i="121"/>
  <c r="CJ449" i="121"/>
  <c r="CU449" i="121"/>
  <c r="DF449" i="121"/>
  <c r="DT449" i="121"/>
  <c r="EO449" i="121"/>
  <c r="FB449" i="121"/>
  <c r="FN449" i="121"/>
  <c r="FY449" i="121"/>
  <c r="GH449" i="121"/>
  <c r="GV449" i="121"/>
  <c r="HH449" i="121"/>
  <c r="HS449" i="121"/>
  <c r="IQ449" i="121"/>
  <c r="JB449" i="121"/>
  <c r="JN449" i="121"/>
  <c r="KB449" i="121"/>
  <c r="KM449" i="121"/>
  <c r="KX449" i="121"/>
  <c r="LM449" i="121"/>
  <c r="LZ449" i="121"/>
  <c r="MP449" i="121"/>
  <c r="AF450" i="121"/>
  <c r="AS450" i="121"/>
  <c r="BI450" i="121"/>
  <c r="BV450" i="121"/>
  <c r="CL450" i="121"/>
  <c r="DA450" i="121"/>
  <c r="DN450" i="121"/>
  <c r="ED450" i="121"/>
  <c r="EQ450" i="121"/>
  <c r="FG450" i="121"/>
  <c r="FV450" i="121"/>
  <c r="GJ450" i="121"/>
  <c r="GZ450" i="121"/>
  <c r="HL450" i="121"/>
  <c r="IB450" i="121"/>
  <c r="JC450" i="121"/>
  <c r="KE450" i="121"/>
  <c r="LI450" i="121"/>
  <c r="LU450" i="121"/>
  <c r="MM450" i="121"/>
  <c r="AF451" i="121"/>
  <c r="AT451" i="121"/>
  <c r="BJ451" i="121"/>
  <c r="BX451" i="121"/>
  <c r="CQ451" i="121"/>
  <c r="DM451" i="121"/>
  <c r="EE451" i="121"/>
  <c r="FC451" i="121"/>
  <c r="FW451" i="121"/>
  <c r="GW451" i="121"/>
  <c r="HV451" i="121"/>
  <c r="LK451" i="121"/>
  <c r="MK451" i="121"/>
  <c r="BI453" i="121"/>
  <c r="FX453" i="121"/>
  <c r="CJ454" i="121"/>
  <c r="DT454" i="121"/>
  <c r="BT455" i="121"/>
  <c r="DR455" i="121"/>
  <c r="FP455" i="121"/>
  <c r="HR455" i="121"/>
  <c r="BI456" i="121"/>
  <c r="CG457" i="121"/>
  <c r="BW458" i="121"/>
  <c r="FT458" i="121"/>
  <c r="CT459" i="121"/>
  <c r="LO459" i="121"/>
  <c r="AI464" i="121"/>
  <c r="HF464" i="121"/>
  <c r="FN466" i="121"/>
  <c r="AA449" i="121"/>
  <c r="AJ449" i="121"/>
  <c r="AT449" i="121"/>
  <c r="BE449" i="121"/>
  <c r="BP449" i="121"/>
  <c r="BZ449" i="121"/>
  <c r="CK449" i="121"/>
  <c r="CV449" i="121"/>
  <c r="DJ449" i="121"/>
  <c r="DU449" i="121"/>
  <c r="EP449" i="121"/>
  <c r="FD449" i="121"/>
  <c r="FO449" i="121"/>
  <c r="FZ449" i="121"/>
  <c r="GJ449" i="121"/>
  <c r="GW449" i="121"/>
  <c r="HI449" i="121"/>
  <c r="HT449" i="121"/>
  <c r="IG449" i="121"/>
  <c r="IR449" i="121"/>
  <c r="JD449" i="121"/>
  <c r="JQ449" i="121"/>
  <c r="KC449" i="121"/>
  <c r="KN449" i="121"/>
  <c r="LB449" i="121"/>
  <c r="LN449" i="121"/>
  <c r="MC449" i="121"/>
  <c r="MQ449" i="121"/>
  <c r="AH450" i="121"/>
  <c r="AT450" i="121"/>
  <c r="BJ450" i="121"/>
  <c r="BY450" i="121"/>
  <c r="CM450" i="121"/>
  <c r="DC450" i="121"/>
  <c r="DP450" i="121"/>
  <c r="EF450" i="121"/>
  <c r="ET450" i="121"/>
  <c r="FH450" i="121"/>
  <c r="FX450" i="121"/>
  <c r="GK450" i="121"/>
  <c r="HA450" i="121"/>
  <c r="HP450" i="121"/>
  <c r="IC450" i="121"/>
  <c r="JG450" i="121"/>
  <c r="KF450" i="121"/>
  <c r="LJ450" i="121"/>
  <c r="LY450" i="121"/>
  <c r="MN450" i="121"/>
  <c r="AH451" i="121"/>
  <c r="AU451" i="121"/>
  <c r="BK451" i="121"/>
  <c r="CA451" i="121"/>
  <c r="CS451" i="121"/>
  <c r="DO451" i="121"/>
  <c r="EG451" i="121"/>
  <c r="FD451" i="121"/>
  <c r="GD451" i="121"/>
  <c r="GX451" i="121"/>
  <c r="HX451" i="121"/>
  <c r="LL451" i="121"/>
  <c r="A452" i="121"/>
  <c r="BU453" i="121"/>
  <c r="FZ453" i="121"/>
  <c r="BM454" i="121"/>
  <c r="CV454" i="121"/>
  <c r="BU455" i="121"/>
  <c r="DS455" i="121"/>
  <c r="FT455" i="121"/>
  <c r="HT455" i="121"/>
  <c r="BJ456" i="121"/>
  <c r="DI457" i="121"/>
  <c r="CB458" i="121"/>
  <c r="FZ458" i="121"/>
  <c r="DC459" i="121"/>
  <c r="DE464" i="121"/>
  <c r="AL466" i="121"/>
  <c r="AQ467" i="121"/>
  <c r="M449" i="121"/>
  <c r="M452" i="121"/>
  <c r="IC471" i="121"/>
  <c r="MH460" i="121"/>
  <c r="LT462" i="121"/>
  <c r="LY460" i="121"/>
  <c r="M134" i="121"/>
  <c r="A223" i="121"/>
  <c r="K654" i="121"/>
  <c r="I658" i="121"/>
  <c r="JQ462" i="121"/>
  <c r="KG462" i="121"/>
  <c r="KW462" i="121"/>
  <c r="JQ460" i="121"/>
  <c r="JY460" i="121"/>
  <c r="JI460" i="121"/>
  <c r="KG460" i="121"/>
  <c r="GU462" i="121"/>
  <c r="HB462" i="121"/>
  <c r="HC462" i="121"/>
  <c r="HJ462" i="121"/>
  <c r="GO460" i="121"/>
  <c r="HE460" i="121"/>
  <c r="HU460" i="121"/>
  <c r="LS460" i="121"/>
  <c r="ME460" i="121"/>
  <c r="GN460" i="121"/>
  <c r="HT460" i="121"/>
  <c r="GT460" i="121"/>
  <c r="HJ460" i="121"/>
  <c r="LX460" i="121"/>
  <c r="HD460" i="121"/>
  <c r="LR460" i="121"/>
  <c r="GU460" i="121"/>
  <c r="HK460" i="121"/>
  <c r="IC463" i="121"/>
  <c r="ID463" i="121"/>
  <c r="IO463" i="121"/>
  <c r="JU463" i="121"/>
  <c r="HZ463" i="121"/>
  <c r="KK463" i="121"/>
  <c r="MM463" i="121"/>
  <c r="MN463" i="121"/>
  <c r="MO463" i="121"/>
  <c r="JE463" i="121"/>
  <c r="MK463" i="121"/>
  <c r="IA463" i="121"/>
  <c r="KR461" i="121"/>
  <c r="KB461" i="121"/>
  <c r="IC461" i="121"/>
  <c r="KZ461" i="121"/>
  <c r="ID461" i="121"/>
  <c r="IV461" i="121"/>
  <c r="KJ461" i="121"/>
  <c r="IF461" i="121"/>
  <c r="GE463" i="121"/>
  <c r="AM463" i="121"/>
  <c r="BS463" i="121"/>
  <c r="CY463" i="121"/>
  <c r="EE463" i="121"/>
  <c r="FC463" i="121"/>
  <c r="FZ463" i="121"/>
  <c r="GI463" i="121"/>
  <c r="HO463" i="121"/>
  <c r="LR463" i="121"/>
  <c r="BJ463" i="121"/>
  <c r="DV463" i="121"/>
  <c r="EM463" i="121"/>
  <c r="HF463" i="121"/>
  <c r="AE463" i="121"/>
  <c r="CQ463" i="121"/>
  <c r="ET463" i="121"/>
  <c r="GF463" i="121"/>
  <c r="LJ463" i="121"/>
  <c r="FB463" i="121"/>
  <c r="BR463" i="121"/>
  <c r="EU463" i="121"/>
  <c r="GH463" i="121"/>
  <c r="LQ463" i="121"/>
  <c r="AT463" i="121"/>
  <c r="BZ463" i="121"/>
  <c r="DF463" i="121"/>
  <c r="EF463" i="121"/>
  <c r="FJ463" i="121"/>
  <c r="GA463" i="121"/>
  <c r="GP463" i="121"/>
  <c r="HV463" i="121"/>
  <c r="LY463" i="121"/>
  <c r="LX463" i="121"/>
  <c r="AD463" i="121"/>
  <c r="CP463" i="121"/>
  <c r="FW463" i="121"/>
  <c r="LI463" i="121"/>
  <c r="BK463" i="121"/>
  <c r="DW463" i="121"/>
  <c r="FX463" i="121"/>
  <c r="HG463" i="121"/>
  <c r="AL463" i="121"/>
  <c r="CX463" i="121"/>
  <c r="ED463" i="121"/>
  <c r="FY463" i="121"/>
  <c r="HN463" i="121"/>
  <c r="AU463" i="121"/>
  <c r="CA463" i="121"/>
  <c r="DG463" i="121"/>
  <c r="EG463" i="121"/>
  <c r="FK463" i="121"/>
  <c r="GB463" i="121"/>
  <c r="GQ463" i="121"/>
  <c r="HW463" i="121"/>
  <c r="BI461" i="121"/>
  <c r="GF461" i="121"/>
  <c r="GK461" i="121"/>
  <c r="LR461" i="121"/>
  <c r="GO461" i="121"/>
  <c r="DM461" i="121"/>
  <c r="FX461" i="121"/>
  <c r="GS461" i="121"/>
  <c r="AC461" i="121"/>
  <c r="DQ461" i="121"/>
  <c r="FY461" i="121"/>
  <c r="GX461" i="121"/>
  <c r="EK461" i="121"/>
  <c r="CO461" i="121"/>
  <c r="FE461" i="121"/>
  <c r="DI461" i="121"/>
  <c r="FI461" i="121"/>
  <c r="AW461" i="121"/>
  <c r="DU461" i="121"/>
  <c r="ML462" i="121"/>
  <c r="ID462" i="121"/>
  <c r="MM462" i="121"/>
  <c r="MK462" i="121"/>
  <c r="MN462" i="121"/>
  <c r="AQ462" i="121"/>
  <c r="MM461" i="121"/>
  <c r="MM460" i="121"/>
  <c r="MO460" i="121"/>
  <c r="EZ460" i="121"/>
  <c r="IB460" i="121"/>
  <c r="AL459" i="121"/>
  <c r="CC461" i="121"/>
  <c r="ED461" i="121"/>
  <c r="GC461" i="121"/>
  <c r="JD461" i="121"/>
  <c r="CG461" i="121"/>
  <c r="EE461" i="121"/>
  <c r="FQ461" i="121"/>
  <c r="GD461" i="121"/>
  <c r="IA461" i="121"/>
  <c r="JL461" i="121"/>
  <c r="ML461" i="121"/>
  <c r="FM461" i="121"/>
  <c r="HZ461" i="121"/>
  <c r="MK461" i="121"/>
  <c r="Y461" i="121"/>
  <c r="CK461" i="121"/>
  <c r="EF461" i="121"/>
  <c r="FW461" i="121"/>
  <c r="GE461" i="121"/>
  <c r="IB461" i="121"/>
  <c r="JT461"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ID460" i="121"/>
  <c r="KO460" i="121"/>
  <c r="LL460" i="121"/>
  <c r="LT460" i="121"/>
  <c r="MB460" i="121"/>
  <c r="MN460" i="121"/>
  <c r="KW460" i="121"/>
  <c r="LM460" i="121"/>
  <c r="MC460" i="121"/>
  <c r="X460" i="121"/>
  <c r="AF460" i="121"/>
  <c r="AN460" i="121"/>
  <c r="AV460" i="121"/>
  <c r="BD460" i="121"/>
  <c r="BL460" i="121"/>
  <c r="BT460" i="121"/>
  <c r="CB460" i="121"/>
  <c r="CJ460" i="121"/>
  <c r="CR460" i="121"/>
  <c r="CZ460" i="121"/>
  <c r="DH460" i="121"/>
  <c r="DP460" i="121"/>
  <c r="DX460" i="121"/>
  <c r="EF460" i="121"/>
  <c r="EN460" i="121"/>
  <c r="EV460" i="121"/>
  <c r="FD460" i="121"/>
  <c r="FL460" i="121"/>
  <c r="FT460" i="121"/>
  <c r="GB460" i="121"/>
  <c r="GJ460" i="121"/>
  <c r="GR460" i="121"/>
  <c r="GZ460" i="121"/>
  <c r="HH460" i="121"/>
  <c r="HP460" i="121"/>
  <c r="HX460" i="121"/>
  <c r="IS460" i="121"/>
  <c r="LE460" i="121"/>
  <c r="LN460" i="121"/>
  <c r="LV460" i="121"/>
  <c r="MD460" i="121"/>
  <c r="MT460"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LU460"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JA460" i="121"/>
  <c r="LG460" i="121"/>
  <c r="LO460" i="121"/>
  <c r="LW460" i="121"/>
  <c r="LM463" i="121"/>
  <c r="AA463" i="121"/>
  <c r="AI463" i="121"/>
  <c r="AQ463" i="121"/>
  <c r="AY463" i="121"/>
  <c r="BG463" i="121"/>
  <c r="BO463" i="121"/>
  <c r="BW463" i="121"/>
  <c r="CE463" i="121"/>
  <c r="CM463" i="121"/>
  <c r="CU463" i="121"/>
  <c r="DC463" i="121"/>
  <c r="DK463" i="121"/>
  <c r="DS463" i="121"/>
  <c r="EA463" i="121"/>
  <c r="EI463" i="121"/>
  <c r="EQ463" i="121"/>
  <c r="EY463" i="121"/>
  <c r="FG463" i="121"/>
  <c r="FO463" i="121"/>
  <c r="GM463" i="121"/>
  <c r="GU463" i="121"/>
  <c r="HC463" i="121"/>
  <c r="HK463" i="121"/>
  <c r="HS463" i="121"/>
  <c r="LN463" i="121"/>
  <c r="LV463" i="121"/>
  <c r="MD463" i="121"/>
  <c r="AF463" i="121"/>
  <c r="AN463" i="121"/>
  <c r="BD463" i="121"/>
  <c r="BT463" i="121"/>
  <c r="CJ463" i="121"/>
  <c r="CZ463" i="121"/>
  <c r="DP463" i="121"/>
  <c r="EN463" i="121"/>
  <c r="FD463" i="121"/>
  <c r="FT463" i="121"/>
  <c r="GR463" i="121"/>
  <c r="HH463" i="121"/>
  <c r="HX463" i="121"/>
  <c r="LS463" i="121"/>
  <c r="Y463" i="121"/>
  <c r="AO463" i="121"/>
  <c r="BE463" i="121"/>
  <c r="BU463" i="121"/>
  <c r="CK463" i="121"/>
  <c r="DA463" i="121"/>
  <c r="DQ463" i="121"/>
  <c r="EO463" i="121"/>
  <c r="FE463" i="121"/>
  <c r="FM463" i="121"/>
  <c r="GK463" i="121"/>
  <c r="HA463" i="121"/>
  <c r="HQ463" i="121"/>
  <c r="LL463" i="121"/>
  <c r="MB463" i="121"/>
  <c r="Z463" i="121"/>
  <c r="AP463" i="121"/>
  <c r="BF463" i="121"/>
  <c r="BV463" i="121"/>
  <c r="CT463" i="121"/>
  <c r="DJ463" i="121"/>
  <c r="DR463" i="121"/>
  <c r="EX463" i="121"/>
  <c r="FN463" i="121"/>
  <c r="FV463" i="121"/>
  <c r="GT463" i="121"/>
  <c r="HJ463" i="121"/>
  <c r="LU463" i="121"/>
  <c r="AB463" i="121"/>
  <c r="AJ463" i="121"/>
  <c r="AR463" i="121"/>
  <c r="AZ463" i="121"/>
  <c r="BH463" i="121"/>
  <c r="BP463" i="121"/>
  <c r="BX463" i="121"/>
  <c r="CF463" i="121"/>
  <c r="CN463" i="121"/>
  <c r="CV463" i="121"/>
  <c r="DD463" i="121"/>
  <c r="DL463" i="121"/>
  <c r="DT463" i="121"/>
  <c r="EB463" i="121"/>
  <c r="EJ463" i="121"/>
  <c r="ER463" i="121"/>
  <c r="EZ463" i="121"/>
  <c r="FH463" i="121"/>
  <c r="FP463" i="121"/>
  <c r="GN463" i="121"/>
  <c r="GV463" i="121"/>
  <c r="HD463" i="121"/>
  <c r="HL463" i="121"/>
  <c r="HT463" i="121"/>
  <c r="LG463" i="121"/>
  <c r="LO463" i="121"/>
  <c r="LW463" i="121"/>
  <c r="ME463" i="121"/>
  <c r="X463" i="121"/>
  <c r="AV463" i="121"/>
  <c r="BL463" i="121"/>
  <c r="CB463" i="121"/>
  <c r="CR463" i="121"/>
  <c r="DH463" i="121"/>
  <c r="DX463" i="121"/>
  <c r="EV463" i="121"/>
  <c r="FL463" i="121"/>
  <c r="GJ463" i="121"/>
  <c r="GZ463" i="121"/>
  <c r="HP463" i="121"/>
  <c r="LK463" i="121"/>
  <c r="MA463" i="121"/>
  <c r="AG463" i="121"/>
  <c r="AW463" i="121"/>
  <c r="BM463" i="121"/>
  <c r="CC463" i="121"/>
  <c r="CS463" i="121"/>
  <c r="DI463" i="121"/>
  <c r="DY463" i="121"/>
  <c r="EW463" i="121"/>
  <c r="FU463" i="121"/>
  <c r="GS463" i="121"/>
  <c r="HI463" i="121"/>
  <c r="HY463" i="121"/>
  <c r="LT463" i="121"/>
  <c r="AH463" i="121"/>
  <c r="AX463" i="121"/>
  <c r="BN463" i="121"/>
  <c r="CD463" i="121"/>
  <c r="CL463" i="121"/>
  <c r="DB463" i="121"/>
  <c r="DZ463" i="121"/>
  <c r="EP463" i="121"/>
  <c r="FF463" i="121"/>
  <c r="GL463" i="121"/>
  <c r="HB463" i="121"/>
  <c r="HR463" i="121"/>
  <c r="MC463" i="121"/>
  <c r="AC463" i="121"/>
  <c r="AK463" i="121"/>
  <c r="AS463" i="121"/>
  <c r="BA463" i="121"/>
  <c r="BI463" i="121"/>
  <c r="BQ463" i="121"/>
  <c r="BY463" i="121"/>
  <c r="CG463" i="121"/>
  <c r="CO463" i="121"/>
  <c r="CW463" i="121"/>
  <c r="DE463" i="121"/>
  <c r="DM463" i="121"/>
  <c r="DU463" i="121"/>
  <c r="EC463" i="121"/>
  <c r="EK463" i="121"/>
  <c r="ES463" i="121"/>
  <c r="FA463" i="121"/>
  <c r="FI463" i="121"/>
  <c r="FQ463" i="121"/>
  <c r="GG463" i="121"/>
  <c r="GO463" i="121"/>
  <c r="GW463" i="121"/>
  <c r="HE463" i="121"/>
  <c r="HM463" i="121"/>
  <c r="HU463" i="121"/>
  <c r="LH463" i="121"/>
  <c r="LP463" i="121"/>
  <c r="AE462" i="121"/>
  <c r="AM462" i="121"/>
  <c r="AU462" i="121"/>
  <c r="BC462" i="121"/>
  <c r="BK462" i="121"/>
  <c r="BS462" i="121"/>
  <c r="CA462" i="121"/>
  <c r="CI462" i="121"/>
  <c r="CQ462" i="121"/>
  <c r="CY462" i="121"/>
  <c r="DG462" i="121"/>
  <c r="DO462" i="121"/>
  <c r="DW462" i="121"/>
  <c r="EM462" i="121"/>
  <c r="EU462" i="121"/>
  <c r="FC462" i="121"/>
  <c r="FK462" i="121"/>
  <c r="FS462" i="121"/>
  <c r="GI462" i="121"/>
  <c r="GQ462" i="121"/>
  <c r="GY462" i="121"/>
  <c r="HG462" i="121"/>
  <c r="HO462" i="121"/>
  <c r="HW462" i="121"/>
  <c r="LI462" i="121"/>
  <c r="LQ462" i="121"/>
  <c r="LY462" i="121"/>
  <c r="AK462" i="121"/>
  <c r="BA462" i="121"/>
  <c r="BQ462" i="121"/>
  <c r="CG462" i="121"/>
  <c r="CW462" i="121"/>
  <c r="DM462" i="121"/>
  <c r="EC462" i="121"/>
  <c r="ES462" i="121"/>
  <c r="FQ462" i="121"/>
  <c r="GO462" i="121"/>
  <c r="GW462" i="121"/>
  <c r="HM462" i="121"/>
  <c r="LO462" i="121"/>
  <c r="ME462" i="121"/>
  <c r="AD462" i="121"/>
  <c r="AT462" i="121"/>
  <c r="BJ462" i="121"/>
  <c r="BZ462" i="121"/>
  <c r="CP462" i="121"/>
  <c r="DF462" i="121"/>
  <c r="DV462" i="121"/>
  <c r="ET462" i="121"/>
  <c r="FJ462" i="121"/>
  <c r="GH462" i="121"/>
  <c r="GX462" i="121"/>
  <c r="HN462" i="121"/>
  <c r="LH462" i="121"/>
  <c r="LX462" i="121"/>
  <c r="X462" i="121"/>
  <c r="AF462" i="121"/>
  <c r="AN462" i="121"/>
  <c r="AV462" i="121"/>
  <c r="BD462" i="121"/>
  <c r="BL462" i="121"/>
  <c r="BT462" i="121"/>
  <c r="CB462" i="121"/>
  <c r="CJ462" i="121"/>
  <c r="CR462" i="121"/>
  <c r="CZ462" i="121"/>
  <c r="DH462" i="121"/>
  <c r="DP462" i="121"/>
  <c r="DX462" i="121"/>
  <c r="EN462" i="121"/>
  <c r="EV462" i="121"/>
  <c r="FD462" i="121"/>
  <c r="FL462" i="121"/>
  <c r="FT462" i="121"/>
  <c r="GJ462" i="121"/>
  <c r="GR462" i="121"/>
  <c r="GZ462" i="121"/>
  <c r="HH462" i="121"/>
  <c r="HP462" i="121"/>
  <c r="HX462" i="121"/>
  <c r="LJ462" i="121"/>
  <c r="LR462" i="121"/>
  <c r="LZ462" i="121"/>
  <c r="AB462" i="121"/>
  <c r="AJ462" i="121"/>
  <c r="AR462" i="121"/>
  <c r="AZ462" i="121"/>
  <c r="BH462" i="121"/>
  <c r="BP462" i="121"/>
  <c r="BX462" i="121"/>
  <c r="CF462" i="121"/>
  <c r="CN462" i="121"/>
  <c r="CV462" i="121"/>
  <c r="DD462" i="121"/>
  <c r="DL462" i="121"/>
  <c r="DT462" i="121"/>
  <c r="EB462" i="121"/>
  <c r="EJ462" i="121"/>
  <c r="ER462" i="121"/>
  <c r="EZ462" i="121"/>
  <c r="FH462" i="121"/>
  <c r="FP462" i="121"/>
  <c r="GN462" i="121"/>
  <c r="GV462" i="121"/>
  <c r="HD462" i="121"/>
  <c r="HL462" i="121"/>
  <c r="HT462" i="121"/>
  <c r="LN462" i="121"/>
  <c r="LV462" i="121"/>
  <c r="MD462" i="121"/>
  <c r="AC462" i="121"/>
  <c r="AS462" i="121"/>
  <c r="BI462" i="121"/>
  <c r="BY462" i="121"/>
  <c r="CO462" i="121"/>
  <c r="DE462" i="121"/>
  <c r="DU462" i="121"/>
  <c r="EK462" i="121"/>
  <c r="FA462" i="121"/>
  <c r="FI462" i="121"/>
  <c r="GG462" i="121"/>
  <c r="HE462" i="121"/>
  <c r="HU462" i="121"/>
  <c r="LG462" i="121"/>
  <c r="LW462" i="121"/>
  <c r="AL462" i="121"/>
  <c r="BB462" i="121"/>
  <c r="BR462" i="121"/>
  <c r="CH462" i="121"/>
  <c r="CX462" i="121"/>
  <c r="DN462" i="121"/>
  <c r="EL462" i="121"/>
  <c r="FB462" i="121"/>
  <c r="FR462" i="121"/>
  <c r="GP462" i="121"/>
  <c r="HF462" i="121"/>
  <c r="HV462" i="121"/>
  <c r="LP462" i="121"/>
  <c r="Y462" i="121"/>
  <c r="AG462" i="121"/>
  <c r="AO462" i="121"/>
  <c r="AW462" i="121"/>
  <c r="BE462" i="121"/>
  <c r="BM462" i="121"/>
  <c r="BU462" i="121"/>
  <c r="CC462" i="121"/>
  <c r="CK462" i="121"/>
  <c r="CS462" i="121"/>
  <c r="DA462" i="121"/>
  <c r="DI462" i="121"/>
  <c r="DQ462" i="121"/>
  <c r="DY462" i="121"/>
  <c r="EO462" i="121"/>
  <c r="EW462" i="121"/>
  <c r="FE462" i="121"/>
  <c r="FM462" i="121"/>
  <c r="FU462" i="121"/>
  <c r="GK462" i="121"/>
  <c r="GS462" i="121"/>
  <c r="HA462" i="121"/>
  <c r="HI462" i="121"/>
  <c r="HQ462" i="121"/>
  <c r="HY462" i="121"/>
  <c r="LK462" i="121"/>
  <c r="LS462" i="121"/>
  <c r="AG461" i="121"/>
  <c r="BM461" i="121"/>
  <c r="DY461" i="121"/>
  <c r="FU461" i="121"/>
  <c r="AK461" i="121"/>
  <c r="BQ461" i="121"/>
  <c r="CW461" i="121"/>
  <c r="EC461" i="121"/>
  <c r="ES461" i="121"/>
  <c r="HN461" i="121"/>
  <c r="AO461" i="121"/>
  <c r="BU461" i="121"/>
  <c r="DA461" i="121"/>
  <c r="EW461" i="121"/>
  <c r="HV461" i="121"/>
  <c r="LJ461" i="121"/>
  <c r="CS461" i="121"/>
  <c r="EO461" i="121"/>
  <c r="HF461" i="121"/>
  <c r="AS461" i="121"/>
  <c r="BY461" i="121"/>
  <c r="DE461" i="121"/>
  <c r="FA461" i="121"/>
  <c r="GG461" i="121"/>
  <c r="M299" i="121"/>
  <c r="I219" i="121"/>
  <c r="LS480" i="121"/>
  <c r="L1213" i="121"/>
  <c r="Q1213" i="121"/>
  <c r="LJ480" i="121"/>
  <c r="LI480" i="121"/>
  <c r="LH480" i="121"/>
  <c r="LG480" i="121"/>
  <c r="MC480" i="121"/>
  <c r="LK480" i="121"/>
  <c r="HL480" i="121"/>
  <c r="GO480" i="121"/>
  <c r="FT480" i="121"/>
  <c r="EW480" i="121"/>
  <c r="DX480" i="121"/>
  <c r="CN480" i="121"/>
  <c r="BC480" i="121"/>
  <c r="AF480" i="121"/>
  <c r="MB480" i="121"/>
  <c r="HK480" i="121"/>
  <c r="GN480" i="121"/>
  <c r="FN480" i="121"/>
  <c r="EV480" i="121"/>
  <c r="DU480" i="121"/>
  <c r="CB480" i="121"/>
  <c r="BB480" i="121"/>
  <c r="AE480" i="121"/>
  <c r="MA480" i="121"/>
  <c r="HE480" i="121"/>
  <c r="GM480" i="121"/>
  <c r="FM480" i="121"/>
  <c r="EP480" i="121"/>
  <c r="DT480" i="121"/>
  <c r="BY480" i="121"/>
  <c r="AV480" i="121"/>
  <c r="AD480" i="121"/>
  <c r="LU480" i="121"/>
  <c r="HD480" i="121"/>
  <c r="GG480" i="121"/>
  <c r="FL480" i="121"/>
  <c r="EO480" i="121"/>
  <c r="DH480" i="121"/>
  <c r="BX480" i="121"/>
  <c r="AU480" i="121"/>
  <c r="X480" i="121"/>
  <c r="LT480" i="121"/>
  <c r="HU480" i="121"/>
  <c r="HC480" i="121"/>
  <c r="FF480" i="121"/>
  <c r="EN480" i="121"/>
  <c r="DE480" i="121"/>
  <c r="BL480" i="121"/>
  <c r="AT480" i="121"/>
  <c r="MA472" i="121"/>
  <c r="LS472" i="121"/>
  <c r="LK472" i="121"/>
  <c r="HT472" i="121"/>
  <c r="HL472" i="121"/>
  <c r="HD472" i="121"/>
  <c r="GV472" i="121"/>
  <c r="GN472" i="121"/>
  <c r="FV472" i="121"/>
  <c r="FN472" i="121"/>
  <c r="FF472" i="121"/>
  <c r="EX472" i="121"/>
  <c r="EP472" i="121"/>
  <c r="DV472" i="121"/>
  <c r="DF472" i="121"/>
  <c r="CP472" i="121"/>
  <c r="BZ472" i="121"/>
  <c r="BJ472" i="121"/>
  <c r="BB472" i="121"/>
  <c r="AT472" i="121"/>
  <c r="AL472" i="121"/>
  <c r="AD472" i="121"/>
  <c r="LZ472" i="121"/>
  <c r="LR472" i="121"/>
  <c r="LJ472" i="121"/>
  <c r="HS472" i="121"/>
  <c r="HK472" i="121"/>
  <c r="HC472" i="121"/>
  <c r="GU472" i="121"/>
  <c r="GM472" i="121"/>
  <c r="FU472" i="121"/>
  <c r="FM472" i="121"/>
  <c r="FE472" i="121"/>
  <c r="EW472" i="121"/>
  <c r="EO472" i="121"/>
  <c r="DS472" i="121"/>
  <c r="DC472" i="121"/>
  <c r="CM472" i="121"/>
  <c r="BW472" i="121"/>
  <c r="BI472" i="121"/>
  <c r="BA472" i="121"/>
  <c r="AS472" i="121"/>
  <c r="AK472" i="121"/>
  <c r="AC472" i="121"/>
  <c r="LY472" i="121"/>
  <c r="LQ472" i="121"/>
  <c r="LI472" i="121"/>
  <c r="HR472" i="121"/>
  <c r="HJ472" i="121"/>
  <c r="HB472" i="121"/>
  <c r="GT472" i="121"/>
  <c r="GL472" i="121"/>
  <c r="FT472" i="121"/>
  <c r="FL472" i="121"/>
  <c r="FD472" i="121"/>
  <c r="EV472" i="121"/>
  <c r="EN472" i="121"/>
  <c r="DR472" i="121"/>
  <c r="DB472" i="121"/>
  <c r="CL472" i="121"/>
  <c r="BV472" i="121"/>
  <c r="BH472" i="121"/>
  <c r="AZ472" i="121"/>
  <c r="AR472" i="121"/>
  <c r="AJ472" i="121"/>
  <c r="AB472" i="121"/>
  <c r="LX472" i="121"/>
  <c r="LP472" i="121"/>
  <c r="LH472" i="121"/>
  <c r="HY472" i="121"/>
  <c r="HQ472" i="121"/>
  <c r="HI472" i="121"/>
  <c r="HA472" i="121"/>
  <c r="GS472" i="121"/>
  <c r="GK472" i="121"/>
  <c r="FS472" i="121"/>
  <c r="FK472" i="121"/>
  <c r="FC472" i="121"/>
  <c r="EU472" i="121"/>
  <c r="EM472" i="121"/>
  <c r="DO472" i="121"/>
  <c r="CY472" i="121"/>
  <c r="CI472" i="121"/>
  <c r="BS472" i="121"/>
  <c r="BG472" i="121"/>
  <c r="AY472" i="121"/>
  <c r="AQ472" i="121"/>
  <c r="AI472" i="121"/>
  <c r="AA472" i="121"/>
  <c r="ME472" i="121"/>
  <c r="LW472" i="121"/>
  <c r="LO472" i="121"/>
  <c r="LG472" i="121"/>
  <c r="HX472" i="121"/>
  <c r="HP472" i="121"/>
  <c r="HH472" i="121"/>
  <c r="GZ472" i="121"/>
  <c r="GR472" i="121"/>
  <c r="GJ472" i="121"/>
  <c r="FR472" i="121"/>
  <c r="FJ472" i="121"/>
  <c r="FB472" i="121"/>
  <c r="ET472" i="121"/>
  <c r="EL472" i="121"/>
  <c r="DN472" i="121"/>
  <c r="CX472" i="121"/>
  <c r="CH472" i="121"/>
  <c r="BR472" i="121"/>
  <c r="BF472" i="121"/>
  <c r="AX472" i="121"/>
  <c r="AP472" i="121"/>
  <c r="AH472" i="121"/>
  <c r="Z472" i="121"/>
  <c r="ME464" i="121"/>
  <c r="LW464" i="121"/>
  <c r="LO464" i="121"/>
  <c r="LG464" i="121"/>
  <c r="HT464" i="121"/>
  <c r="HL464" i="121"/>
  <c r="HD464" i="121"/>
  <c r="GV464" i="121"/>
  <c r="GN464" i="121"/>
  <c r="FP464" i="121"/>
  <c r="FH464" i="121"/>
  <c r="EZ464" i="121"/>
  <c r="ER464" i="121"/>
  <c r="EJ464" i="121"/>
  <c r="EB464" i="121"/>
  <c r="DT464" i="121"/>
  <c r="MD464" i="121"/>
  <c r="LV464" i="121"/>
  <c r="LN464" i="121"/>
  <c r="HS464" i="121"/>
  <c r="HK464" i="121"/>
  <c r="HC464" i="121"/>
  <c r="GU464" i="121"/>
  <c r="GM464" i="121"/>
  <c r="FO464" i="121"/>
  <c r="FG464" i="121"/>
  <c r="EY464" i="121"/>
  <c r="EQ464" i="121"/>
  <c r="EI464" i="121"/>
  <c r="EA464" i="121"/>
  <c r="DS464" i="121"/>
  <c r="DK464" i="121"/>
  <c r="MO483" i="121"/>
  <c r="MN483" i="121"/>
  <c r="ML483" i="121"/>
  <c r="MK483" i="121"/>
  <c r="MN481" i="121"/>
  <c r="HZ481" i="121"/>
  <c r="FW481" i="121"/>
  <c r="MM481" i="121"/>
  <c r="GF481" i="121"/>
  <c r="EH481" i="121"/>
  <c r="ML481" i="121"/>
  <c r="GE481" i="121"/>
  <c r="EG481" i="121"/>
  <c r="MK481" i="121"/>
  <c r="GD481" i="121"/>
  <c r="EF481" i="121"/>
  <c r="ID481" i="121"/>
  <c r="GC481" i="121"/>
  <c r="EE481" i="121"/>
  <c r="IB481" i="121"/>
  <c r="IA481" i="121"/>
  <c r="GB481" i="121"/>
  <c r="GA481" i="121"/>
  <c r="FZ481" i="121"/>
  <c r="MM475" i="121"/>
  <c r="ML475" i="121"/>
  <c r="MK475" i="121"/>
  <c r="MO473" i="121"/>
  <c r="IC473" i="121"/>
  <c r="GC473" i="121"/>
  <c r="EF473" i="121"/>
  <c r="MN473" i="121"/>
  <c r="IB473" i="121"/>
  <c r="GB473" i="121"/>
  <c r="EE473" i="121"/>
  <c r="MM473" i="121"/>
  <c r="IA473" i="121"/>
  <c r="GA473" i="121"/>
  <c r="ED473" i="121"/>
  <c r="ML473" i="121"/>
  <c r="HZ473" i="121"/>
  <c r="FX473" i="121"/>
  <c r="DO473" i="121"/>
  <c r="MK473" i="121"/>
  <c r="HB473" i="121"/>
  <c r="FW473" i="121"/>
  <c r="CN473" i="121"/>
  <c r="MO467" i="121"/>
  <c r="MN467" i="121"/>
  <c r="MM467" i="121"/>
  <c r="LN465" i="121"/>
  <c r="IB465" i="121"/>
  <c r="GF465" i="121"/>
  <c r="FX465" i="121"/>
  <c r="EG465" i="121"/>
  <c r="CT465" i="121"/>
  <c r="AH465" i="121"/>
  <c r="LE465" i="121"/>
  <c r="IA465" i="121"/>
  <c r="GE465" i="121"/>
  <c r="FW465" i="121"/>
  <c r="EF465" i="121"/>
  <c r="CL465" i="121"/>
  <c r="Z465" i="121"/>
  <c r="DZ479" i="121"/>
  <c r="DR479" i="121"/>
  <c r="DJ479" i="121"/>
  <c r="DB479" i="121"/>
  <c r="CT479" i="121"/>
  <c r="CL479" i="121"/>
  <c r="CD479" i="121"/>
  <c r="BV479" i="121"/>
  <c r="BN479" i="121"/>
  <c r="DY479" i="121"/>
  <c r="DQ479" i="121"/>
  <c r="DI479" i="121"/>
  <c r="DA479" i="121"/>
  <c r="CS479" i="121"/>
  <c r="CK479" i="121"/>
  <c r="CC479" i="121"/>
  <c r="BU479" i="121"/>
  <c r="BM479" i="121"/>
  <c r="DX479" i="121"/>
  <c r="DP479" i="121"/>
  <c r="DH479" i="121"/>
  <c r="CZ479" i="121"/>
  <c r="CR479" i="121"/>
  <c r="CJ479" i="121"/>
  <c r="CB479" i="121"/>
  <c r="BT479" i="121"/>
  <c r="BL479" i="121"/>
  <c r="GA479" i="121"/>
  <c r="DW479" i="121"/>
  <c r="DO479" i="121"/>
  <c r="DG479" i="121"/>
  <c r="CY479" i="121"/>
  <c r="CQ479" i="121"/>
  <c r="CI479" i="121"/>
  <c r="CA479" i="121"/>
  <c r="BS479" i="121"/>
  <c r="FZ479" i="121"/>
  <c r="DV479" i="121"/>
  <c r="DN479" i="121"/>
  <c r="DF479" i="121"/>
  <c r="CX479" i="121"/>
  <c r="CP479" i="121"/>
  <c r="CH479" i="121"/>
  <c r="BZ479" i="121"/>
  <c r="BR479" i="121"/>
  <c r="FW479" i="121"/>
  <c r="EA479" i="121"/>
  <c r="DD479" i="121"/>
  <c r="CG479" i="121"/>
  <c r="BO479" i="121"/>
  <c r="DU479" i="121"/>
  <c r="DC479" i="121"/>
  <c r="CF479" i="121"/>
  <c r="DT479" i="121"/>
  <c r="CW479" i="121"/>
  <c r="CE479" i="121"/>
  <c r="DS479" i="121"/>
  <c r="CV479" i="121"/>
  <c r="BY479" i="121"/>
  <c r="DM479" i="121"/>
  <c r="CU479" i="121"/>
  <c r="BX479" i="121"/>
  <c r="FX471" i="121"/>
  <c r="EB471" i="121"/>
  <c r="DT471" i="121"/>
  <c r="DL471" i="121"/>
  <c r="DD471" i="121"/>
  <c r="CV471" i="121"/>
  <c r="CN471" i="121"/>
  <c r="CF471" i="121"/>
  <c r="BX471" i="121"/>
  <c r="BP471" i="121"/>
  <c r="FW471" i="121"/>
  <c r="EA471" i="121"/>
  <c r="DS471" i="121"/>
  <c r="DK471" i="121"/>
  <c r="DC471" i="121"/>
  <c r="CU471" i="121"/>
  <c r="CM471" i="121"/>
  <c r="CE471" i="121"/>
  <c r="BW471" i="121"/>
  <c r="BO471" i="121"/>
  <c r="DZ471" i="121"/>
  <c r="DR471" i="121"/>
  <c r="DJ471" i="121"/>
  <c r="DB471" i="121"/>
  <c r="CT471" i="121"/>
  <c r="CL471" i="121"/>
  <c r="CD471" i="121"/>
  <c r="BV471" i="121"/>
  <c r="BN471" i="121"/>
  <c r="DY471" i="121"/>
  <c r="DQ471" i="121"/>
  <c r="DI471" i="121"/>
  <c r="DA471" i="121"/>
  <c r="CS471" i="121"/>
  <c r="CK471" i="121"/>
  <c r="CC471" i="121"/>
  <c r="BU471" i="121"/>
  <c r="BM471" i="121"/>
  <c r="DX471" i="121"/>
  <c r="DP471" i="121"/>
  <c r="DH471" i="121"/>
  <c r="CZ471" i="121"/>
  <c r="CR471" i="121"/>
  <c r="CJ471" i="121"/>
  <c r="CB471" i="121"/>
  <c r="BT471" i="121"/>
  <c r="BL471" i="121"/>
  <c r="MM485" i="121"/>
  <c r="ID485" i="121"/>
  <c r="IC485" i="121"/>
  <c r="IB485" i="121"/>
  <c r="IA485" i="121"/>
  <c r="MN485" i="121"/>
  <c r="HZ485" i="121"/>
  <c r="IC483" i="121"/>
  <c r="IB483" i="121"/>
  <c r="HZ483" i="121"/>
  <c r="ID483" i="121"/>
  <c r="MM479" i="121"/>
  <c r="HZ479" i="121"/>
  <c r="ML479" i="121"/>
  <c r="MK479" i="121"/>
  <c r="ID479" i="121"/>
  <c r="IA479" i="121"/>
  <c r="MO479" i="121"/>
  <c r="MO477" i="121"/>
  <c r="IA477" i="121"/>
  <c r="MN477" i="121"/>
  <c r="HZ477" i="121"/>
  <c r="MM477" i="121"/>
  <c r="ML477" i="121"/>
  <c r="IC477" i="121"/>
  <c r="IB477" i="121"/>
  <c r="HZ475" i="121"/>
  <c r="ID475" i="121"/>
  <c r="MN471" i="121"/>
  <c r="IB471" i="121"/>
  <c r="MM471" i="121"/>
  <c r="IA471" i="121"/>
  <c r="ML471" i="121"/>
  <c r="HZ471" i="121"/>
  <c r="MK471" i="121"/>
  <c r="MK469" i="121"/>
  <c r="HZ469" i="121"/>
  <c r="MJ469" i="121"/>
  <c r="JT469" i="121"/>
  <c r="JI467" i="121"/>
  <c r="IS467" i="121"/>
  <c r="ID467" i="121"/>
  <c r="K429" i="121"/>
  <c r="I429" i="121"/>
  <c r="FP481" i="121"/>
  <c r="MD473" i="121"/>
  <c r="LZ465" i="121"/>
  <c r="MO482" i="121"/>
  <c r="MN482" i="121"/>
  <c r="MM482" i="121"/>
  <c r="MM480" i="121"/>
  <c r="LZ480" i="121"/>
  <c r="LR480" i="121"/>
  <c r="HZ480" i="121"/>
  <c r="HR480" i="121"/>
  <c r="HJ480" i="121"/>
  <c r="HB480" i="121"/>
  <c r="GT480" i="121"/>
  <c r="GL480" i="121"/>
  <c r="GD480" i="121"/>
  <c r="FS480" i="121"/>
  <c r="FK480" i="121"/>
  <c r="FC480" i="121"/>
  <c r="EU480" i="121"/>
  <c r="EM480" i="121"/>
  <c r="EE480" i="121"/>
  <c r="DQ480" i="121"/>
  <c r="DA480" i="121"/>
  <c r="CK480" i="121"/>
  <c r="BU480" i="121"/>
  <c r="BI480" i="121"/>
  <c r="BA480" i="121"/>
  <c r="AS480" i="121"/>
  <c r="AK480" i="121"/>
  <c r="AC480" i="121"/>
  <c r="ML480" i="121"/>
  <c r="LY480" i="121"/>
  <c r="LQ480" i="121"/>
  <c r="HY480" i="121"/>
  <c r="HQ480" i="121"/>
  <c r="HI480" i="121"/>
  <c r="HA480" i="121"/>
  <c r="GS480" i="121"/>
  <c r="GK480" i="121"/>
  <c r="GC480" i="121"/>
  <c r="FR480" i="121"/>
  <c r="FJ480" i="121"/>
  <c r="FB480" i="121"/>
  <c r="ET480" i="121"/>
  <c r="EL480" i="121"/>
  <c r="ED480" i="121"/>
  <c r="DP480" i="121"/>
  <c r="CZ480" i="121"/>
  <c r="CJ480" i="121"/>
  <c r="BT480" i="121"/>
  <c r="BH480" i="121"/>
  <c r="AZ480" i="121"/>
  <c r="AR480" i="121"/>
  <c r="AJ480" i="121"/>
  <c r="AB480" i="121"/>
  <c r="MK480" i="121"/>
  <c r="LX480" i="121"/>
  <c r="LP480" i="121"/>
  <c r="HX480" i="121"/>
  <c r="HP480" i="121"/>
  <c r="HH480" i="121"/>
  <c r="GZ480" i="121"/>
  <c r="GR480" i="121"/>
  <c r="GJ480" i="121"/>
  <c r="GB480" i="121"/>
  <c r="FQ480" i="121"/>
  <c r="FI480" i="121"/>
  <c r="FA480" i="121"/>
  <c r="ES480" i="121"/>
  <c r="EK480" i="121"/>
  <c r="EC480" i="121"/>
  <c r="DM480" i="121"/>
  <c r="CW480" i="121"/>
  <c r="CG480" i="121"/>
  <c r="BQ480" i="121"/>
  <c r="BG480" i="121"/>
  <c r="AY480" i="121"/>
  <c r="AQ480" i="121"/>
  <c r="AI480" i="121"/>
  <c r="AA480" i="121"/>
  <c r="ME480" i="121"/>
  <c r="LW480" i="121"/>
  <c r="LO480" i="121"/>
  <c r="HW480" i="121"/>
  <c r="HO480" i="121"/>
  <c r="HG480" i="121"/>
  <c r="GY480" i="121"/>
  <c r="GQ480" i="121"/>
  <c r="GI480" i="121"/>
  <c r="FY480" i="121"/>
  <c r="FP480" i="121"/>
  <c r="FH480" i="121"/>
  <c r="EZ480" i="121"/>
  <c r="ER480" i="121"/>
  <c r="EJ480" i="121"/>
  <c r="EB480" i="121"/>
  <c r="DL480" i="121"/>
  <c r="CV480" i="121"/>
  <c r="CF480" i="121"/>
  <c r="BP480" i="121"/>
  <c r="BF480" i="121"/>
  <c r="AX480" i="121"/>
  <c r="AP480" i="121"/>
  <c r="AH480" i="121"/>
  <c r="Z480" i="121"/>
  <c r="MD480" i="121"/>
  <c r="LV480" i="121"/>
  <c r="LN480" i="121"/>
  <c r="ID480" i="121"/>
  <c r="HV480" i="121"/>
  <c r="HN480" i="121"/>
  <c r="HF480" i="121"/>
  <c r="GX480" i="121"/>
  <c r="GP480" i="121"/>
  <c r="GH480" i="121"/>
  <c r="FX480" i="121"/>
  <c r="FO480" i="121"/>
  <c r="FG480" i="121"/>
  <c r="EY480" i="121"/>
  <c r="EQ480" i="121"/>
  <c r="EI480" i="121"/>
  <c r="DY480" i="121"/>
  <c r="DI480" i="121"/>
  <c r="CS480" i="121"/>
  <c r="CC480" i="121"/>
  <c r="BM480" i="121"/>
  <c r="BE480" i="121"/>
  <c r="AW480" i="121"/>
  <c r="AO480" i="121"/>
  <c r="AG480" i="121"/>
  <c r="Y480" i="121"/>
  <c r="LZ483" i="121"/>
  <c r="HR483" i="121"/>
  <c r="HH483" i="121"/>
  <c r="GW483" i="121"/>
  <c r="GL483" i="121"/>
  <c r="LY483" i="121"/>
  <c r="HQ483" i="121"/>
  <c r="HF483" i="121"/>
  <c r="GV483" i="121"/>
  <c r="GK483" i="121"/>
  <c r="LX483" i="121"/>
  <c r="HP483" i="121"/>
  <c r="HE483" i="121"/>
  <c r="GT483" i="121"/>
  <c r="GJ483" i="121"/>
  <c r="LV483" i="121"/>
  <c r="HY483" i="121"/>
  <c r="HN483" i="121"/>
  <c r="HD483" i="121"/>
  <c r="GS483" i="121"/>
  <c r="GH483" i="121"/>
  <c r="LU483" i="121"/>
  <c r="HX483" i="121"/>
  <c r="HM483" i="121"/>
  <c r="HB483" i="121"/>
  <c r="GR483" i="121"/>
  <c r="GG483" i="121"/>
  <c r="LZ479" i="121"/>
  <c r="LR479" i="121"/>
  <c r="HR479" i="121"/>
  <c r="HJ479" i="121"/>
  <c r="HB479" i="121"/>
  <c r="GT479" i="121"/>
  <c r="GL479" i="121"/>
  <c r="LY479" i="121"/>
  <c r="LQ479" i="121"/>
  <c r="HY479" i="121"/>
  <c r="HQ479" i="121"/>
  <c r="HI479" i="121"/>
  <c r="HA479" i="121"/>
  <c r="GS479" i="121"/>
  <c r="GK479" i="121"/>
  <c r="LX479" i="121"/>
  <c r="HX479" i="121"/>
  <c r="HP479" i="121"/>
  <c r="HH479" i="121"/>
  <c r="GZ479" i="121"/>
  <c r="GR479" i="121"/>
  <c r="GJ479" i="121"/>
  <c r="ME479" i="121"/>
  <c r="LW479" i="121"/>
  <c r="HW479" i="121"/>
  <c r="HO479" i="121"/>
  <c r="HG479" i="121"/>
  <c r="GY479" i="121"/>
  <c r="GQ479" i="121"/>
  <c r="GI479" i="121"/>
  <c r="MD479" i="121"/>
  <c r="LV479" i="121"/>
  <c r="HV479" i="121"/>
  <c r="HN479" i="121"/>
  <c r="HF479" i="121"/>
  <c r="GX479" i="121"/>
  <c r="GP479" i="121"/>
  <c r="GH479" i="121"/>
  <c r="LZ475" i="121"/>
  <c r="LR475" i="121"/>
  <c r="HR475" i="121"/>
  <c r="HJ475" i="121"/>
  <c r="HB475" i="121"/>
  <c r="LY475" i="121"/>
  <c r="LQ475" i="121"/>
  <c r="HY475" i="121"/>
  <c r="HQ475" i="121"/>
  <c r="HI475" i="121"/>
  <c r="HA475" i="121"/>
  <c r="GS475" i="121"/>
  <c r="GK475" i="121"/>
  <c r="LX475" i="121"/>
  <c r="HX475" i="121"/>
  <c r="HP475" i="121"/>
  <c r="HH475" i="121"/>
  <c r="GZ475" i="121"/>
  <c r="GR475" i="121"/>
  <c r="GJ475" i="121"/>
  <c r="MM459" i="121"/>
  <c r="MC457" i="121"/>
  <c r="H627" i="121"/>
  <c r="K627" i="121"/>
  <c r="A212" i="121"/>
  <c r="A253" i="121"/>
  <c r="GA486" i="121"/>
  <c r="DW486" i="121"/>
  <c r="DO486" i="121"/>
  <c r="DG486" i="121"/>
  <c r="FZ486" i="121"/>
  <c r="DV486" i="121"/>
  <c r="DN486" i="121"/>
  <c r="DF486" i="121"/>
  <c r="CX486" i="121"/>
  <c r="CP486" i="121"/>
  <c r="CH486" i="121"/>
  <c r="BZ486" i="121"/>
  <c r="BR486" i="121"/>
  <c r="FY486" i="121"/>
  <c r="EC486" i="121"/>
  <c r="DU486" i="121"/>
  <c r="DM486" i="121"/>
  <c r="DE486" i="121"/>
  <c r="CW486" i="121"/>
  <c r="J627" i="121"/>
  <c r="P645" i="121"/>
  <c r="EK486" i="121"/>
  <c r="ES486" i="121"/>
  <c r="FA486" i="121"/>
  <c r="FI486" i="121"/>
  <c r="FQ486" i="121"/>
  <c r="GG486" i="121"/>
  <c r="GO486" i="121"/>
  <c r="GW486" i="121"/>
  <c r="HE486" i="121"/>
  <c r="HM486" i="121"/>
  <c r="HU486" i="121"/>
  <c r="LG486" i="121"/>
  <c r="LO486" i="121"/>
  <c r="LW486" i="121"/>
  <c r="ME486" i="121"/>
  <c r="J429" i="121"/>
  <c r="M429" i="121"/>
  <c r="HH477" i="121"/>
  <c r="LT469" i="121"/>
  <c r="MB453" i="121"/>
  <c r="MO458" i="121"/>
  <c r="ML456" i="121"/>
  <c r="J658" i="121"/>
  <c r="L665" i="121"/>
  <c r="EL486" i="121"/>
  <c r="ET486" i="121"/>
  <c r="FB486" i="121"/>
  <c r="FJ486" i="121"/>
  <c r="FR486" i="121"/>
  <c r="GH486" i="121"/>
  <c r="GP486" i="121"/>
  <c r="GX486" i="121"/>
  <c r="HF486" i="121"/>
  <c r="HN486" i="121"/>
  <c r="HV486" i="121"/>
  <c r="LH486" i="121"/>
  <c r="LP486" i="121"/>
  <c r="LX486" i="121"/>
  <c r="S134" i="121"/>
  <c r="IB486" i="121"/>
  <c r="I640" i="121"/>
  <c r="Q640" i="121"/>
  <c r="O649" i="121"/>
  <c r="EM486" i="121"/>
  <c r="EU486" i="121"/>
  <c r="FC486" i="121"/>
  <c r="FK486" i="121"/>
  <c r="FS486" i="121"/>
  <c r="GI486" i="121"/>
  <c r="GQ486" i="121"/>
  <c r="GY486" i="121"/>
  <c r="HG486" i="121"/>
  <c r="HO486" i="121"/>
  <c r="HW486" i="121"/>
  <c r="LI486" i="121"/>
  <c r="LQ486" i="121"/>
  <c r="L645" i="121"/>
  <c r="L658" i="121"/>
  <c r="MM465" i="121"/>
  <c r="A125" i="121"/>
  <c r="L683" i="121"/>
  <c r="GX459" i="121"/>
  <c r="HS459" i="121"/>
  <c r="LS459" i="121"/>
  <c r="GH459" i="121"/>
  <c r="HC459" i="121"/>
  <c r="HX459" i="121"/>
  <c r="LX459" i="121"/>
  <c r="GM459" i="121"/>
  <c r="HH459" i="121"/>
  <c r="MC459" i="121"/>
  <c r="GI459" i="121"/>
  <c r="GN459" i="121"/>
  <c r="GT459" i="121"/>
  <c r="GY459" i="121"/>
  <c r="HD459" i="121"/>
  <c r="HJ459" i="121"/>
  <c r="HO459" i="121"/>
  <c r="HT459" i="121"/>
  <c r="LT459" i="121"/>
  <c r="LY459" i="121"/>
  <c r="ME459" i="121"/>
  <c r="MO459" i="121"/>
  <c r="GJ459" i="121"/>
  <c r="GP459" i="121"/>
  <c r="GU459" i="121"/>
  <c r="GZ459" i="121"/>
  <c r="HF459" i="121"/>
  <c r="HK459" i="121"/>
  <c r="HP459" i="121"/>
  <c r="HV459" i="121"/>
  <c r="LU459" i="121"/>
  <c r="MA459" i="121"/>
  <c r="ML459" i="121"/>
  <c r="MD459" i="121"/>
  <c r="GL459" i="121"/>
  <c r="GQ459" i="121"/>
  <c r="GV459" i="121"/>
  <c r="HB459" i="121"/>
  <c r="HG459" i="121"/>
  <c r="HL459" i="121"/>
  <c r="HR459" i="121"/>
  <c r="HW459" i="121"/>
  <c r="LQ459" i="121"/>
  <c r="LW459" i="121"/>
  <c r="MB459" i="121"/>
  <c r="GG458" i="121"/>
  <c r="GW458" i="121"/>
  <c r="HM458" i="121"/>
  <c r="LZ458" i="121"/>
  <c r="GK458" i="121"/>
  <c r="HA458" i="121"/>
  <c r="HQ458" i="121"/>
  <c r="MD458" i="121"/>
  <c r="GO458" i="121"/>
  <c r="HE458" i="121"/>
  <c r="HU458" i="121"/>
  <c r="LR458" i="121"/>
  <c r="ML458" i="121"/>
  <c r="GH458" i="121"/>
  <c r="GL458" i="121"/>
  <c r="GP458" i="121"/>
  <c r="GT458" i="121"/>
  <c r="GX458" i="121"/>
  <c r="HB458" i="121"/>
  <c r="HF458" i="121"/>
  <c r="HJ458" i="121"/>
  <c r="HN458" i="121"/>
  <c r="HR458" i="121"/>
  <c r="HV458" i="121"/>
  <c r="LS458" i="121"/>
  <c r="LW458" i="121"/>
  <c r="MA458" i="121"/>
  <c r="ME458" i="121"/>
  <c r="MM458" i="121"/>
  <c r="GI458" i="121"/>
  <c r="GM458" i="121"/>
  <c r="GQ458" i="121"/>
  <c r="GU458" i="121"/>
  <c r="GY458" i="121"/>
  <c r="HC458" i="121"/>
  <c r="HG458" i="121"/>
  <c r="HK458" i="121"/>
  <c r="HO458" i="121"/>
  <c r="HS458" i="121"/>
  <c r="HW458" i="121"/>
  <c r="LT458" i="121"/>
  <c r="LX458" i="121"/>
  <c r="MB458" i="121"/>
  <c r="MI458" i="121"/>
  <c r="MN458" i="121"/>
  <c r="GJ458" i="121"/>
  <c r="GN458" i="121"/>
  <c r="GR458" i="121"/>
  <c r="GV458" i="121"/>
  <c r="GZ458" i="121"/>
  <c r="HD458" i="121"/>
  <c r="HH458" i="121"/>
  <c r="HL458" i="121"/>
  <c r="HP458" i="121"/>
  <c r="HT458" i="121"/>
  <c r="HX458" i="121"/>
  <c r="LQ458" i="121"/>
  <c r="LU458" i="121"/>
  <c r="LY458" i="121"/>
  <c r="MC458" i="121"/>
  <c r="MK458" i="121"/>
  <c r="GG457" i="121"/>
  <c r="ML457" i="121"/>
  <c r="GW457" i="121"/>
  <c r="HM457" i="121"/>
  <c r="GK457" i="121"/>
  <c r="HA457" i="121"/>
  <c r="HQ457" i="121"/>
  <c r="LU457" i="121"/>
  <c r="MM457" i="121"/>
  <c r="MO457" i="121"/>
  <c r="MB457" i="121"/>
  <c r="GO457" i="121"/>
  <c r="HE457" i="121"/>
  <c r="HU457" i="121"/>
  <c r="LY457" i="121"/>
  <c r="GS457" i="121"/>
  <c r="HI457" i="121"/>
  <c r="HY457" i="121"/>
  <c r="GH456" i="121"/>
  <c r="GX456" i="121"/>
  <c r="HN456" i="121"/>
  <c r="ME456" i="121"/>
  <c r="GL456" i="121"/>
  <c r="HB456" i="121"/>
  <c r="HR456" i="121"/>
  <c r="LS456" i="121"/>
  <c r="MM456" i="121"/>
  <c r="GP456" i="121"/>
  <c r="HF456" i="121"/>
  <c r="HV456" i="121"/>
  <c r="LW456" i="121"/>
  <c r="HO456" i="121"/>
  <c r="MB456" i="121"/>
  <c r="GM456" i="121"/>
  <c r="GY456" i="121"/>
  <c r="HG456" i="121"/>
  <c r="HW456" i="121"/>
  <c r="LT456" i="121"/>
  <c r="LX456" i="121"/>
  <c r="MN456" i="121"/>
  <c r="GJ456" i="121"/>
  <c r="GN456" i="121"/>
  <c r="GR456" i="121"/>
  <c r="GV456" i="121"/>
  <c r="GZ456" i="121"/>
  <c r="HD456" i="121"/>
  <c r="HH456" i="121"/>
  <c r="HL456" i="121"/>
  <c r="HP456" i="121"/>
  <c r="HT456" i="121"/>
  <c r="HX456" i="121"/>
  <c r="LQ456" i="121"/>
  <c r="LU456" i="121"/>
  <c r="LY456" i="121"/>
  <c r="MC456" i="121"/>
  <c r="MK456" i="121"/>
  <c r="MO456" i="121"/>
  <c r="GI456" i="121"/>
  <c r="GQ456" i="121"/>
  <c r="GU456" i="121"/>
  <c r="HC456" i="121"/>
  <c r="HK456" i="121"/>
  <c r="HS456" i="121"/>
  <c r="MF456" i="121"/>
  <c r="GG456" i="121"/>
  <c r="GK456" i="121"/>
  <c r="GO456" i="121"/>
  <c r="GS456" i="121"/>
  <c r="GW456" i="121"/>
  <c r="HA456" i="121"/>
  <c r="HE456" i="121"/>
  <c r="HI456" i="121"/>
  <c r="HM456" i="121"/>
  <c r="HQ456" i="121"/>
  <c r="HU456" i="121"/>
  <c r="HY456" i="121"/>
  <c r="LR456" i="121"/>
  <c r="LV456" i="121"/>
  <c r="LZ456" i="121"/>
  <c r="MD456" i="121"/>
  <c r="IC459" i="121"/>
  <c r="IQ459" i="121"/>
  <c r="JL459" i="121"/>
  <c r="KH459" i="121"/>
  <c r="LC459" i="121"/>
  <c r="MF459" i="121"/>
  <c r="MN459" i="121"/>
  <c r="HZ459" i="121"/>
  <c r="ID459" i="121"/>
  <c r="IV459" i="121"/>
  <c r="JR459" i="121"/>
  <c r="KM459" i="121"/>
  <c r="MK459" i="121"/>
  <c r="IB457" i="121"/>
  <c r="IM457" i="121"/>
  <c r="JI457" i="121"/>
  <c r="KD457" i="121"/>
  <c r="KY457" i="121"/>
  <c r="MF457" i="121"/>
  <c r="MN457" i="121"/>
  <c r="IC457" i="121"/>
  <c r="IS457" i="121"/>
  <c r="JN457" i="121"/>
  <c r="KI457" i="121"/>
  <c r="LE457" i="121"/>
  <c r="MK457" i="121"/>
  <c r="L412" i="121"/>
  <c r="K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D716" i="121"/>
  <c r="D723" i="121"/>
  <c r="D721" i="121"/>
  <c r="D715" i="121"/>
  <c r="E714" i="121"/>
  <c r="C716" i="121"/>
  <c r="FX487" i="121" l="1"/>
  <c r="EF487" i="121"/>
  <c r="M504" i="121" s="1"/>
  <c r="HZ487" i="121"/>
  <c r="EH487" i="121"/>
  <c r="O504" i="121" s="1"/>
  <c r="IC487" i="121"/>
  <c r="GF487" i="121"/>
  <c r="O609" i="121" s="1"/>
  <c r="EG487" i="121"/>
  <c r="N504" i="121" s="1"/>
  <c r="IB487" i="121"/>
  <c r="GE487" i="121"/>
  <c r="N609" i="121" s="1"/>
  <c r="ED487" i="121"/>
  <c r="K504" i="121" s="1"/>
  <c r="GC487" i="121"/>
  <c r="L609" i="121" s="1"/>
  <c r="ID487" i="121"/>
  <c r="GD487" i="121"/>
  <c r="M609" i="121" s="1"/>
  <c r="EE487" i="121"/>
  <c r="L504" i="121" s="1"/>
  <c r="IV487" i="121"/>
  <c r="M585" i="121" s="1"/>
  <c r="GB487" i="121"/>
  <c r="K609" i="121" s="1"/>
  <c r="E148" i="121"/>
  <c r="ET487" i="121"/>
  <c r="L601" i="121" s="1"/>
  <c r="MK487" i="121"/>
  <c r="BX487" i="121"/>
  <c r="M535" i="121" s="1"/>
  <c r="IA487" i="121"/>
  <c r="EO487" i="121"/>
  <c r="L600" i="121" s="1"/>
  <c r="CC487" i="121"/>
  <c r="M534" i="121" s="1"/>
  <c r="FT487" i="121"/>
  <c r="M607" i="121" s="1"/>
  <c r="GX487" i="121"/>
  <c r="M554" i="121" s="1"/>
  <c r="IX487" i="121"/>
  <c r="O585" i="121" s="1"/>
  <c r="DI487" i="121"/>
  <c r="O546" i="121" s="1"/>
  <c r="AW487" i="121"/>
  <c r="K499" i="121" s="1"/>
  <c r="FD487" i="121"/>
  <c r="L603" i="121" s="1"/>
  <c r="DT487" i="121"/>
  <c r="K543" i="121" s="1"/>
  <c r="CN487" i="121"/>
  <c r="N532" i="121" s="1"/>
  <c r="BH487" i="121"/>
  <c r="L502" i="121" s="1"/>
  <c r="AB487" i="121"/>
  <c r="O494" i="121" s="1"/>
  <c r="BJ487" i="121"/>
  <c r="N502" i="121" s="1"/>
  <c r="LE487" i="121"/>
  <c r="N577" i="121" s="1"/>
  <c r="MM487" i="121"/>
  <c r="ML487" i="121"/>
  <c r="ES487" i="121"/>
  <c r="K601" i="121" s="1"/>
  <c r="FY487" i="121"/>
  <c r="KO487" i="121"/>
  <c r="M574" i="121" s="1"/>
  <c r="G153" i="121"/>
  <c r="IS487" i="121"/>
  <c r="O584" i="121" s="1"/>
  <c r="MF487" i="121"/>
  <c r="MO487" i="121"/>
  <c r="HM487" i="121"/>
  <c r="M557" i="121" s="1"/>
  <c r="MN487" i="121"/>
  <c r="LY487" i="121"/>
  <c r="LX487" i="121"/>
  <c r="MH487" i="121"/>
  <c r="JM487" i="121"/>
  <c r="O580" i="121" s="1"/>
  <c r="O591" i="121" s="1"/>
  <c r="IE487" i="121"/>
  <c r="K578" i="121" s="1"/>
  <c r="BI487" i="121"/>
  <c r="M502" i="121" s="1"/>
  <c r="JR487" i="121"/>
  <c r="O581" i="121" s="1"/>
  <c r="O592" i="121" s="1"/>
  <c r="JI487" i="121"/>
  <c r="K580" i="121" s="1"/>
  <c r="K591" i="121" s="1"/>
  <c r="HI487" i="12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L593"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504" i="121" l="1"/>
  <c r="P682" i="121"/>
  <c r="Q682" i="121"/>
  <c r="K594" i="121"/>
  <c r="N596" i="121"/>
  <c r="M593" i="121"/>
  <c r="M556" i="121"/>
  <c r="F165" i="121"/>
  <c r="M595" i="121"/>
  <c r="M563" i="121"/>
  <c r="P592" i="121"/>
  <c r="O595" i="121"/>
  <c r="N590" i="121"/>
  <c r="M596" i="121"/>
  <c r="Q683" i="121"/>
  <c r="K589" i="121"/>
  <c r="P585" i="121"/>
  <c r="N589" i="121"/>
  <c r="L563" i="121"/>
  <c r="P579" i="121"/>
  <c r="L590" i="121"/>
  <c r="M594" i="121"/>
  <c r="O563" i="121"/>
  <c r="P578" i="121"/>
  <c r="M590" i="121"/>
  <c r="P581" i="121"/>
  <c r="O569" i="121"/>
  <c r="P576" i="121"/>
  <c r="L589" i="121"/>
  <c r="P574" i="121"/>
  <c r="L595" i="121"/>
  <c r="Q6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L517" i="121"/>
  <c r="O511" i="121"/>
  <c r="P563" i="121"/>
  <c r="P684" i="121" s="1"/>
  <c r="L511" i="121"/>
  <c r="P595" i="121"/>
  <c r="P590" i="121"/>
  <c r="P589"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K517" i="121" l="1"/>
  <c r="Q684" i="121"/>
  <c r="Q685" i="121" s="1"/>
  <c r="Q676" i="121" s="1"/>
  <c r="N677" i="121" s="1"/>
  <c r="P685" i="121"/>
  <c r="K511" i="121"/>
  <c r="K514" i="121"/>
  <c r="P505" i="121"/>
  <c r="K680" i="121" s="1"/>
  <c r="K520" i="121"/>
  <c r="K526" i="121"/>
  <c r="K523" i="121"/>
  <c r="G720" i="121"/>
  <c r="G725" i="121" s="1"/>
  <c r="G733" i="121" s="1"/>
  <c r="G717" i="121"/>
  <c r="H716" i="121"/>
  <c r="H723" i="121"/>
  <c r="H721" i="121"/>
  <c r="H715" i="121"/>
  <c r="I714" i="121"/>
  <c r="K682" i="121" l="1"/>
  <c r="Q677" i="121"/>
  <c r="K681" i="121"/>
  <c r="P508" i="121"/>
  <c r="P509" i="121" s="1"/>
  <c r="P510" i="121" s="1"/>
  <c r="P526" i="121"/>
  <c r="N527" i="121" s="1"/>
  <c r="N528" i="121" s="1"/>
  <c r="P520" i="121"/>
  <c r="O521" i="121" s="1"/>
  <c r="O522" i="121" s="1"/>
  <c r="J488" i="121"/>
  <c r="P523" i="121"/>
  <c r="O524" i="121" s="1"/>
  <c r="O525" i="121" s="1"/>
  <c r="K677" i="121"/>
  <c r="P511" i="121"/>
  <c r="K512" i="121" s="1"/>
  <c r="K513" i="121" s="1"/>
  <c r="K678" i="121"/>
  <c r="K679" i="121"/>
  <c r="P517" i="121"/>
  <c r="M518" i="121" s="1"/>
  <c r="M519" i="121" s="1"/>
  <c r="P514" i="121"/>
  <c r="M515" i="121" s="1"/>
  <c r="M516" i="121" s="1"/>
  <c r="J487" i="121"/>
  <c r="H720" i="121"/>
  <c r="H725" i="121" s="1"/>
  <c r="H733" i="121" s="1"/>
  <c r="H717" i="121"/>
  <c r="I723" i="121"/>
  <c r="I721" i="121"/>
  <c r="I715" i="121"/>
  <c r="J714" i="121"/>
  <c r="I716" i="121"/>
  <c r="M527" i="121"/>
  <c r="M528" i="121" s="1"/>
  <c r="L527" i="121"/>
  <c r="L528" i="121" s="1"/>
  <c r="N509" i="121" l="1"/>
  <c r="N510" i="121" s="1"/>
  <c r="K509" i="121"/>
  <c r="K510" i="121" s="1"/>
  <c r="O509" i="121"/>
  <c r="O510" i="121" s="1"/>
  <c r="M509" i="121"/>
  <c r="M510" i="121" s="1"/>
  <c r="O527" i="121"/>
  <c r="O528" i="121" s="1"/>
  <c r="L509" i="121"/>
  <c r="L510" i="121" s="1"/>
  <c r="P527" i="121"/>
  <c r="P528" i="121" s="1"/>
  <c r="K527" i="121"/>
  <c r="K528" i="121" s="1"/>
  <c r="K524" i="121"/>
  <c r="K525" i="121" s="1"/>
  <c r="N524" i="121"/>
  <c r="N525" i="121" s="1"/>
  <c r="M521" i="121"/>
  <c r="M522" i="121" s="1"/>
  <c r="N515" i="121"/>
  <c r="N516" i="121" s="1"/>
  <c r="K521" i="121"/>
  <c r="K522" i="121" s="1"/>
  <c r="M512" i="121"/>
  <c r="M513" i="121" s="1"/>
  <c r="O512" i="121"/>
  <c r="O513" i="121" s="1"/>
  <c r="P521" i="121"/>
  <c r="P522" i="121" s="1"/>
  <c r="O515" i="121"/>
  <c r="O516" i="121" s="1"/>
  <c r="N512" i="121"/>
  <c r="N513" i="121" s="1"/>
  <c r="P515" i="121"/>
  <c r="P516" i="121" s="1"/>
  <c r="L521" i="121"/>
  <c r="L522" i="121" s="1"/>
  <c r="K515" i="121"/>
  <c r="K516" i="121" s="1"/>
  <c r="L512" i="121"/>
  <c r="L513" i="121" s="1"/>
  <c r="P512" i="121"/>
  <c r="P513" i="121" s="1"/>
  <c r="N521" i="121"/>
  <c r="N522" i="121" s="1"/>
  <c r="L515" i="121"/>
  <c r="L516" i="121" s="1"/>
  <c r="P518" i="121"/>
  <c r="P519" i="121" s="1"/>
  <c r="M524" i="121"/>
  <c r="M525" i="121" s="1"/>
  <c r="P524" i="121"/>
  <c r="P525" i="121" s="1"/>
  <c r="L524" i="121"/>
  <c r="L525" i="121" s="1"/>
  <c r="K518" i="121"/>
  <c r="K519" i="121" s="1"/>
  <c r="L518" i="121"/>
  <c r="L519" i="121" s="1"/>
  <c r="N518" i="121"/>
  <c r="N519" i="121" s="1"/>
  <c r="O518" i="121"/>
  <c r="O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B42" i="95"/>
  <c r="A42" i="95"/>
  <c r="E41" i="95"/>
  <c r="D41" i="95"/>
  <c r="B41" i="95"/>
  <c r="A41" i="95"/>
  <c r="E40" i="95"/>
  <c r="D40" i="95"/>
  <c r="B40" i="95"/>
  <c r="A40" i="95"/>
  <c r="E39" i="95"/>
  <c r="D39" i="95"/>
  <c r="B39" i="95"/>
  <c r="A39" i="95"/>
  <c r="C160" i="90"/>
  <c r="Q67" i="85"/>
  <c r="N67" i="85"/>
  <c r="C33" i="100"/>
  <c r="B33" i="100"/>
  <c r="C32" i="100"/>
  <c r="B32" i="100"/>
  <c r="C31" i="100"/>
  <c r="B31" i="100"/>
  <c r="C30" i="100"/>
  <c r="C25" i="100"/>
  <c r="B25" i="100"/>
  <c r="L11" i="95"/>
  <c r="G11" i="91"/>
  <c r="E97" i="90"/>
  <c r="E93" i="90"/>
  <c r="O67" i="85"/>
  <c r="L67" i="85"/>
  <c r="H8" i="10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0" i="110"/>
  <c r="J458" i="121" s="1"/>
  <c r="L458" i="121" s="1"/>
  <c r="M458"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G58" i="115"/>
  <c r="C58" i="115"/>
  <c r="D58" i="115" s="1"/>
  <c r="K53" i="115"/>
  <c r="J19" i="115"/>
  <c r="J22" i="115" s="1"/>
  <c r="M39" i="120"/>
  <c r="L39" i="120"/>
  <c r="K39" i="120"/>
  <c r="J39" i="120"/>
  <c r="I39" i="120"/>
  <c r="M22" i="120"/>
  <c r="J25" i="110" s="1"/>
  <c r="J463" i="121" s="1"/>
  <c r="L463" i="121" s="1"/>
  <c r="M463" i="121" s="1"/>
  <c r="L22" i="120"/>
  <c r="J23" i="110" s="1"/>
  <c r="K22" i="120"/>
  <c r="J22" i="110" s="1"/>
  <c r="J460" i="121" s="1"/>
  <c r="L460" i="121" s="1"/>
  <c r="M460" i="121"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O238" i="112"/>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O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A67" i="111"/>
  <c r="A98" i="111" s="1"/>
  <c r="A128" i="111" s="1"/>
  <c r="B31" i="111"/>
  <c r="C31" i="111" s="1"/>
  <c r="D14" i="111"/>
  <c r="E14" i="111" s="1"/>
  <c r="E24" i="111" s="1"/>
  <c r="E724" i="121" s="1"/>
  <c r="C14" i="111"/>
  <c r="C24" i="111" s="1"/>
  <c r="C724" i="12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P45" i="106"/>
  <c r="P88" i="121" s="1"/>
  <c r="P43" i="106"/>
  <c r="P86" i="121" s="1"/>
  <c r="P42" i="106"/>
  <c r="P85" i="121" s="1"/>
  <c r="P41" i="106"/>
  <c r="P84" i="121" s="1"/>
  <c r="P40" i="106"/>
  <c r="P83" i="121" s="1"/>
  <c r="S37" i="106"/>
  <c r="L33" i="106"/>
  <c r="S19" i="106"/>
  <c r="S4" i="106"/>
  <c r="K29" i="105"/>
  <c r="K28" i="121" s="1"/>
  <c r="C40" i="95"/>
  <c r="C39" i="95"/>
  <c r="C42" i="95"/>
  <c r="C41" i="95"/>
  <c r="E91" i="111" l="1"/>
  <c r="E98" i="111" s="1"/>
  <c r="J18" i="110"/>
  <c r="J456" i="121" s="1"/>
  <c r="L456" i="121" s="1"/>
  <c r="M456" i="121" s="1"/>
  <c r="I59" i="115"/>
  <c r="E59" i="111"/>
  <c r="E67" i="111" s="1"/>
  <c r="I91" i="111"/>
  <c r="I98" i="111" s="1"/>
  <c r="J19" i="110"/>
  <c r="J457" i="121" s="1"/>
  <c r="L457" i="121" s="1"/>
  <c r="M457" i="121" s="1"/>
  <c r="Q25" i="112"/>
  <c r="I59" i="111"/>
  <c r="I67" i="111" s="1"/>
  <c r="G92" i="111"/>
  <c r="G99" i="111" s="1"/>
  <c r="D27" i="111"/>
  <c r="D35" i="111" s="1"/>
  <c r="G60" i="111"/>
  <c r="G68" i="111" s="1"/>
  <c r="E93" i="111"/>
  <c r="K33" i="87" s="1"/>
  <c r="E121" i="111"/>
  <c r="E43" i="87" s="1"/>
  <c r="J21" i="110"/>
  <c r="J459" i="121" s="1"/>
  <c r="L459" i="121" s="1"/>
  <c r="M459" i="121" s="1"/>
  <c r="H27" i="111"/>
  <c r="H727" i="121" s="1"/>
  <c r="H735" i="121" s="1"/>
  <c r="E61" i="111"/>
  <c r="K23" i="87" s="1"/>
  <c r="I93" i="111"/>
  <c r="I100" i="111" s="1"/>
  <c r="C123" i="111"/>
  <c r="C130" i="111" s="1"/>
  <c r="J20" i="115"/>
  <c r="J48" i="115" s="1"/>
  <c r="F28" i="111"/>
  <c r="I61" i="111"/>
  <c r="I69" i="111" s="1"/>
  <c r="D29" i="111"/>
  <c r="D37" i="111" s="1"/>
  <c r="J24" i="110"/>
  <c r="J462" i="121" s="1"/>
  <c r="L462" i="121" s="1"/>
  <c r="M462" i="121" s="1"/>
  <c r="H29" i="111"/>
  <c r="H37" i="111" s="1"/>
  <c r="P89" i="112"/>
  <c r="P1246" i="121" s="1"/>
  <c r="P1249" i="121"/>
  <c r="BC431" i="112"/>
  <c r="P1309" i="121"/>
  <c r="I11" i="86"/>
  <c r="G741" i="121"/>
  <c r="Q1182" i="121"/>
  <c r="L1182" i="121"/>
  <c r="O89" i="112"/>
  <c r="O1246" i="121" s="1"/>
  <c r="O1249" i="121"/>
  <c r="P215" i="112"/>
  <c r="P207" i="112" s="1"/>
  <c r="P1373" i="121"/>
  <c r="K251" i="112"/>
  <c r="K1400" i="121" s="1"/>
  <c r="K1398" i="121"/>
  <c r="G27" i="111"/>
  <c r="E28" i="111"/>
  <c r="C29" i="111"/>
  <c r="K29" i="111"/>
  <c r="H11" i="86"/>
  <c r="F741" i="121"/>
  <c r="F12" i="86"/>
  <c r="D742" i="121"/>
  <c r="H59" i="111"/>
  <c r="F60" i="111"/>
  <c r="D61" i="111"/>
  <c r="G31" i="86"/>
  <c r="B773" i="121"/>
  <c r="H51" i="86"/>
  <c r="J773" i="121"/>
  <c r="F52" i="86"/>
  <c r="H774" i="121"/>
  <c r="H91" i="111"/>
  <c r="F92" i="111"/>
  <c r="D93" i="111"/>
  <c r="D121" i="111"/>
  <c r="B123" i="111"/>
  <c r="D24" i="111"/>
  <c r="D724" i="121" s="1"/>
  <c r="P117" i="112"/>
  <c r="P1278" i="121"/>
  <c r="H14" i="87"/>
  <c r="F728" i="121"/>
  <c r="F736" i="121" s="1"/>
  <c r="G12" i="86"/>
  <c r="E742" i="121"/>
  <c r="F36" i="111"/>
  <c r="I27" i="111"/>
  <c r="G28" i="111"/>
  <c r="E29" i="111"/>
  <c r="C31" i="86"/>
  <c r="H741" i="121"/>
  <c r="H12" i="86"/>
  <c r="F742" i="121"/>
  <c r="B59" i="111"/>
  <c r="J59" i="111"/>
  <c r="H60" i="111"/>
  <c r="F61" i="111"/>
  <c r="I31" i="86"/>
  <c r="D773" i="121"/>
  <c r="G32" i="86"/>
  <c r="B774" i="121"/>
  <c r="H52" i="86"/>
  <c r="J774" i="121"/>
  <c r="B91" i="111"/>
  <c r="J91" i="111"/>
  <c r="H92" i="111"/>
  <c r="F93" i="111"/>
  <c r="F121" i="111"/>
  <c r="D123" i="111"/>
  <c r="B22" i="111"/>
  <c r="Q662" i="121" s="1"/>
  <c r="O664" i="121" s="1"/>
  <c r="BA432" i="112"/>
  <c r="P1317" i="121"/>
  <c r="K1526" i="121" s="1"/>
  <c r="B27" i="111"/>
  <c r="J27" i="111"/>
  <c r="J35" i="111" s="1"/>
  <c r="H28" i="111"/>
  <c r="F29" i="111"/>
  <c r="D31" i="86"/>
  <c r="I741" i="121"/>
  <c r="I12" i="86"/>
  <c r="G742" i="121"/>
  <c r="C59" i="111"/>
  <c r="K59" i="111"/>
  <c r="I60" i="111"/>
  <c r="G61" i="111"/>
  <c r="C51" i="86"/>
  <c r="E773" i="121"/>
  <c r="H32" i="86"/>
  <c r="C774" i="121"/>
  <c r="C91" i="111"/>
  <c r="K91" i="111"/>
  <c r="I92" i="111"/>
  <c r="G93" i="111"/>
  <c r="B122" i="111"/>
  <c r="E123" i="111"/>
  <c r="C22" i="111"/>
  <c r="H35" i="87"/>
  <c r="G792" i="121"/>
  <c r="G799" i="121" s="1"/>
  <c r="K41" i="87"/>
  <c r="C823" i="121"/>
  <c r="C830" i="121" s="1"/>
  <c r="J146" i="107"/>
  <c r="J162" i="107" s="1"/>
  <c r="J164" i="107" s="1"/>
  <c r="J166" i="107" s="1"/>
  <c r="M146" i="107"/>
  <c r="M162" i="107" s="1"/>
  <c r="M164" i="107" s="1"/>
  <c r="M166" i="107" s="1"/>
  <c r="L359" i="112"/>
  <c r="P55" i="112"/>
  <c r="P1235" i="121"/>
  <c r="AV436" i="112"/>
  <c r="O1395" i="121"/>
  <c r="L1395" i="121" s="1"/>
  <c r="C27" i="111"/>
  <c r="K27" i="111"/>
  <c r="I28" i="111"/>
  <c r="G29" i="111"/>
  <c r="D11" i="86"/>
  <c r="C11" i="86"/>
  <c r="B741" i="121"/>
  <c r="E31" i="86"/>
  <c r="J741" i="121"/>
  <c r="C32" i="86"/>
  <c r="H742" i="121"/>
  <c r="D59" i="111"/>
  <c r="B60" i="111"/>
  <c r="J60" i="111"/>
  <c r="H61" i="111"/>
  <c r="D51" i="86"/>
  <c r="F773" i="121"/>
  <c r="I32" i="86"/>
  <c r="D774" i="121"/>
  <c r="D91" i="111"/>
  <c r="D98" i="111" s="1"/>
  <c r="B92" i="111"/>
  <c r="J92" i="111"/>
  <c r="H93" i="111"/>
  <c r="C122" i="111"/>
  <c r="F123" i="111"/>
  <c r="D22" i="111"/>
  <c r="E22" i="111"/>
  <c r="H35" i="111"/>
  <c r="E12" i="87"/>
  <c r="D727" i="121"/>
  <c r="D735" i="121" s="1"/>
  <c r="B28" i="111"/>
  <c r="J28" i="111"/>
  <c r="E11" i="86"/>
  <c r="C741" i="121"/>
  <c r="F31" i="86"/>
  <c r="K741" i="121"/>
  <c r="D32" i="86"/>
  <c r="I742" i="121"/>
  <c r="E759" i="121"/>
  <c r="E767" i="121" s="1"/>
  <c r="K60" i="111"/>
  <c r="E51" i="86"/>
  <c r="G773" i="121"/>
  <c r="E33" i="87"/>
  <c r="E791" i="121"/>
  <c r="E798" i="121" s="1"/>
  <c r="C92" i="111"/>
  <c r="K92" i="111"/>
  <c r="D122" i="111"/>
  <c r="E128" i="111"/>
  <c r="P27" i="112"/>
  <c r="P1184" i="121" s="1"/>
  <c r="P1178" i="121"/>
  <c r="L80" i="112"/>
  <c r="O1237" i="121"/>
  <c r="L1237" i="121" s="1"/>
  <c r="O222" i="112"/>
  <c r="O1379" i="121" s="1"/>
  <c r="O1381" i="121"/>
  <c r="E27" i="111"/>
  <c r="C28" i="111"/>
  <c r="K28" i="111"/>
  <c r="I29" i="111"/>
  <c r="F11" i="86"/>
  <c r="D741" i="121"/>
  <c r="C12" i="86"/>
  <c r="D12" i="86"/>
  <c r="B742" i="121"/>
  <c r="E32" i="86"/>
  <c r="J742" i="121"/>
  <c r="F59" i="111"/>
  <c r="D60" i="111"/>
  <c r="B61" i="111"/>
  <c r="J61" i="111"/>
  <c r="F51" i="86"/>
  <c r="H773" i="121"/>
  <c r="D52" i="86"/>
  <c r="F774" i="121"/>
  <c r="F91" i="111"/>
  <c r="D92" i="111"/>
  <c r="B93" i="111"/>
  <c r="J93" i="111"/>
  <c r="B121" i="111"/>
  <c r="E122" i="111"/>
  <c r="B816" i="121"/>
  <c r="B832" i="121" s="1"/>
  <c r="F786" i="121"/>
  <c r="F802" i="121" s="1"/>
  <c r="H754" i="121"/>
  <c r="H771" i="121" s="1"/>
  <c r="G722" i="121"/>
  <c r="G739" i="121" s="1"/>
  <c r="E786" i="121"/>
  <c r="E802" i="121" s="1"/>
  <c r="G754" i="121"/>
  <c r="G771" i="121" s="1"/>
  <c r="F722" i="121"/>
  <c r="F739" i="121" s="1"/>
  <c r="D786" i="121"/>
  <c r="D802" i="121" s="1"/>
  <c r="F754" i="121"/>
  <c r="F771" i="121" s="1"/>
  <c r="E722" i="121"/>
  <c r="E739" i="121" s="1"/>
  <c r="K786" i="121"/>
  <c r="K802" i="121" s="1"/>
  <c r="C786" i="121"/>
  <c r="C802" i="121" s="1"/>
  <c r="E754" i="121"/>
  <c r="E771" i="121" s="1"/>
  <c r="D722" i="121"/>
  <c r="D739" i="121" s="1"/>
  <c r="C816" i="121"/>
  <c r="C832" i="121" s="1"/>
  <c r="B754" i="121"/>
  <c r="B771" i="121" s="1"/>
  <c r="I722" i="121"/>
  <c r="I739" i="121" s="1"/>
  <c r="H722" i="121"/>
  <c r="H739" i="121" s="1"/>
  <c r="C722" i="121"/>
  <c r="C739" i="121" s="1"/>
  <c r="J786" i="121"/>
  <c r="J802" i="121" s="1"/>
  <c r="K754" i="121"/>
  <c r="K771" i="121" s="1"/>
  <c r="B722" i="121"/>
  <c r="I786" i="121"/>
  <c r="I802" i="121" s="1"/>
  <c r="J754" i="121"/>
  <c r="J771" i="121" s="1"/>
  <c r="D816" i="121"/>
  <c r="D832" i="121" s="1"/>
  <c r="B786" i="121"/>
  <c r="B802" i="121" s="1"/>
  <c r="I754" i="121"/>
  <c r="I771" i="121" s="1"/>
  <c r="D754" i="121"/>
  <c r="D771" i="121" s="1"/>
  <c r="C754" i="121"/>
  <c r="C771" i="121" s="1"/>
  <c r="F816" i="121"/>
  <c r="F832" i="121" s="1"/>
  <c r="E816" i="121"/>
  <c r="E832" i="121" s="1"/>
  <c r="H786" i="121"/>
  <c r="H802" i="121" s="1"/>
  <c r="K722" i="121"/>
  <c r="K739" i="121" s="1"/>
  <c r="G786" i="121"/>
  <c r="G802" i="121" s="1"/>
  <c r="J722" i="121"/>
  <c r="J739" i="121" s="1"/>
  <c r="H25" i="87"/>
  <c r="G760" i="121"/>
  <c r="G768" i="121" s="1"/>
  <c r="H31" i="86"/>
  <c r="C773" i="121"/>
  <c r="G52" i="86"/>
  <c r="I774" i="121"/>
  <c r="C60" i="111"/>
  <c r="K27" i="87"/>
  <c r="I761" i="121"/>
  <c r="I769" i="121" s="1"/>
  <c r="C52" i="86"/>
  <c r="E774" i="121"/>
  <c r="K37" i="87"/>
  <c r="I793" i="121"/>
  <c r="I800" i="121" s="1"/>
  <c r="V146" i="107"/>
  <c r="L25" i="112"/>
  <c r="Q108" i="112"/>
  <c r="O1265" i="121"/>
  <c r="Q1265" i="121" s="1"/>
  <c r="O215" i="112"/>
  <c r="O1372" i="121" s="1"/>
  <c r="O1373" i="121"/>
  <c r="F27" i="111"/>
  <c r="D28" i="111"/>
  <c r="B29" i="111"/>
  <c r="J29" i="111"/>
  <c r="G11" i="86"/>
  <c r="E741" i="121"/>
  <c r="E12" i="86"/>
  <c r="C742" i="121"/>
  <c r="F32" i="86"/>
  <c r="K742" i="121"/>
  <c r="G59" i="111"/>
  <c r="E60" i="111"/>
  <c r="C61" i="111"/>
  <c r="K61" i="111"/>
  <c r="G51" i="86"/>
  <c r="I773" i="121"/>
  <c r="E52" i="86"/>
  <c r="G774" i="121"/>
  <c r="G91" i="111"/>
  <c r="E92" i="111"/>
  <c r="C93" i="111"/>
  <c r="K93" i="111"/>
  <c r="C121" i="111"/>
  <c r="F122" i="111"/>
  <c r="AD123" i="107"/>
  <c r="Q46" i="112"/>
  <c r="O1203" i="121"/>
  <c r="Q1203" i="121" s="1"/>
  <c r="L52" i="106"/>
  <c r="N52" i="106" s="1"/>
  <c r="I10" i="105"/>
  <c r="C21" i="86"/>
  <c r="D21" i="86" s="1"/>
  <c r="E21" i="86" s="1"/>
  <c r="F21" i="86" s="1"/>
  <c r="G21" i="86" s="1"/>
  <c r="H21" i="86" s="1"/>
  <c r="I21" i="86" s="1"/>
  <c r="L95" i="121"/>
  <c r="N95" i="121" s="1"/>
  <c r="I9" i="121"/>
  <c r="L94" i="121"/>
  <c r="N94" i="121" s="1"/>
  <c r="L51" i="106"/>
  <c r="M67" i="85"/>
  <c r="F126" i="107"/>
  <c r="C135" i="90"/>
  <c r="F122" i="107"/>
  <c r="D45" i="106"/>
  <c r="D88" i="121" s="1"/>
  <c r="F38" i="107"/>
  <c r="G43" i="107"/>
  <c r="G146" i="107"/>
  <c r="O121" i="112"/>
  <c r="O117" i="112" s="1"/>
  <c r="O37" i="112"/>
  <c r="O1194" i="121" s="1"/>
  <c r="O1201" i="121"/>
  <c r="BB446" i="112"/>
  <c r="P1517" i="121"/>
  <c r="K378" i="112"/>
  <c r="P1326" i="121"/>
  <c r="K1527" i="121" s="1"/>
  <c r="AV432" i="112"/>
  <c r="O1317" i="121"/>
  <c r="K384" i="112"/>
  <c r="O1533" i="121"/>
  <c r="K1533" i="121" s="1"/>
  <c r="P146" i="107"/>
  <c r="P162" i="107" s="1"/>
  <c r="P164" i="107" s="1"/>
  <c r="P166" i="107" s="1"/>
  <c r="E40" i="107"/>
  <c r="E38" i="107"/>
  <c r="F39" i="107"/>
  <c r="S146" i="107"/>
  <c r="B64" i="111"/>
  <c r="D32" i="111"/>
  <c r="H32" i="111"/>
  <c r="E64" i="111"/>
  <c r="E32" i="111"/>
  <c r="I32" i="111"/>
  <c r="F64" i="111"/>
  <c r="F32" i="111"/>
  <c r="J32" i="111"/>
  <c r="C64" i="111"/>
  <c r="G32" i="111"/>
  <c r="K32" i="111"/>
  <c r="D64" i="111"/>
  <c r="C26" i="111"/>
  <c r="G26" i="111"/>
  <c r="K26" i="111"/>
  <c r="D58" i="111"/>
  <c r="H58" i="111"/>
  <c r="E90" i="111"/>
  <c r="I90" i="111"/>
  <c r="E120" i="111"/>
  <c r="D26" i="111"/>
  <c r="H26" i="111"/>
  <c r="E58" i="111"/>
  <c r="I58" i="111"/>
  <c r="B90" i="111"/>
  <c r="F90" i="111"/>
  <c r="J90" i="111"/>
  <c r="B120" i="111"/>
  <c r="F120" i="111"/>
  <c r="E26" i="111"/>
  <c r="I26" i="111"/>
  <c r="B58" i="111"/>
  <c r="F58" i="111"/>
  <c r="J58" i="111"/>
  <c r="C90" i="111"/>
  <c r="G90" i="111"/>
  <c r="K90" i="111"/>
  <c r="C120" i="111"/>
  <c r="B26" i="111"/>
  <c r="F26" i="111"/>
  <c r="J26" i="111"/>
  <c r="C58" i="111"/>
  <c r="G58" i="111"/>
  <c r="K58" i="111"/>
  <c r="D90" i="111"/>
  <c r="H90" i="111"/>
  <c r="D120" i="111"/>
  <c r="J287" i="121"/>
  <c r="J288" i="121" s="1"/>
  <c r="J290" i="121" s="1"/>
  <c r="J293" i="121" s="1"/>
  <c r="J177" i="107"/>
  <c r="D31" i="111"/>
  <c r="C53" i="82"/>
  <c r="C731" i="121"/>
  <c r="B53" i="82"/>
  <c r="B731" i="121"/>
  <c r="H15" i="100"/>
  <c r="O29" i="105"/>
  <c r="E18" i="89"/>
  <c r="J26" i="121"/>
  <c r="A45" i="121"/>
  <c r="A307" i="121"/>
  <c r="A2" i="105"/>
  <c r="A1" i="121" s="1"/>
  <c r="L45" i="110"/>
  <c r="M45" i="110" s="1"/>
  <c r="L22" i="110"/>
  <c r="M22" i="110" s="1"/>
  <c r="L26" i="110"/>
  <c r="M26" i="110" s="1"/>
  <c r="L42" i="110"/>
  <c r="M42" i="110" s="1"/>
  <c r="L33" i="110"/>
  <c r="M33" i="110" s="1"/>
  <c r="L37" i="110"/>
  <c r="M37" i="110" s="1"/>
  <c r="L25" i="110"/>
  <c r="M25" i="110" s="1"/>
  <c r="L41" i="110"/>
  <c r="M41" i="110" s="1"/>
  <c r="L29" i="110"/>
  <c r="M29" i="110" s="1"/>
  <c r="L44" i="110"/>
  <c r="M44" i="110" s="1"/>
  <c r="L20" i="110"/>
  <c r="M20" i="110" s="1"/>
  <c r="L32" i="110"/>
  <c r="M32" i="110" s="1"/>
  <c r="L40" i="110"/>
  <c r="M40" i="110" s="1"/>
  <c r="L48" i="110"/>
  <c r="M48" i="110" s="1"/>
  <c r="L28" i="110"/>
  <c r="M28" i="110" s="1"/>
  <c r="L36" i="110"/>
  <c r="M36" i="110" s="1"/>
  <c r="L23" i="110"/>
  <c r="M23" i="110" s="1"/>
  <c r="J461" i="121"/>
  <c r="L461" i="121" s="1"/>
  <c r="M461" i="121" s="1"/>
  <c r="L27" i="110"/>
  <c r="M27" i="110" s="1"/>
  <c r="J465" i="121"/>
  <c r="L465" i="121" s="1"/>
  <c r="M465"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18" i="110"/>
  <c r="M18" i="110" s="1"/>
  <c r="L34" i="110"/>
  <c r="M34" i="110" s="1"/>
  <c r="L38" i="110"/>
  <c r="M38" i="110" s="1"/>
  <c r="L30" i="110"/>
  <c r="M30" i="110" s="1"/>
  <c r="L46" i="110"/>
  <c r="M46" i="110" s="1"/>
  <c r="J484" i="121"/>
  <c r="L484" i="121" s="1"/>
  <c r="M484" i="121" s="1"/>
  <c r="L31" i="110"/>
  <c r="M31" i="110" s="1"/>
  <c r="J469" i="121"/>
  <c r="L469" i="121" s="1"/>
  <c r="M469" i="121" s="1"/>
  <c r="AZ437" i="112"/>
  <c r="P1414" i="121"/>
  <c r="AZ443" i="112"/>
  <c r="P1488" i="121"/>
  <c r="Q670" i="121"/>
  <c r="O663" i="121"/>
  <c r="K144" i="112"/>
  <c r="O1178" i="121"/>
  <c r="O27" i="112"/>
  <c r="O1184" i="121" s="1"/>
  <c r="AW433" i="112"/>
  <c r="O1326" i="121"/>
  <c r="I61" i="115"/>
  <c r="I60" i="115"/>
  <c r="I63" i="115"/>
  <c r="I62" i="115"/>
  <c r="J251" i="112"/>
  <c r="J1400" i="121" s="1"/>
  <c r="O143" i="112"/>
  <c r="R160" i="112"/>
  <c r="R169" i="112"/>
  <c r="P37" i="112"/>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2" i="107"/>
  <c r="W2" i="107" s="1"/>
  <c r="A3" i="118"/>
  <c r="A2" i="111"/>
  <c r="N2" i="111" s="1"/>
  <c r="A2" i="106"/>
  <c r="S2" i="106" s="1"/>
  <c r="A1" i="114"/>
  <c r="A2" i="110"/>
  <c r="T2" i="110" s="1"/>
  <c r="N29" i="105"/>
  <c r="A1" i="120"/>
  <c r="A1" i="113"/>
  <c r="A1" i="112"/>
  <c r="F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J39" i="115"/>
  <c r="J40" i="115"/>
  <c r="K40" i="115" s="1"/>
  <c r="J42" i="115"/>
  <c r="J43" i="115"/>
  <c r="J45" i="115"/>
  <c r="J46" i="115"/>
  <c r="K46" i="115" s="1"/>
  <c r="J47" i="115"/>
  <c r="J49" i="115"/>
  <c r="K49" i="115" s="1"/>
  <c r="J50" i="115"/>
  <c r="J51" i="115"/>
  <c r="B64" i="115"/>
  <c r="J33" i="115"/>
  <c r="J35" i="115"/>
  <c r="J37" i="115"/>
  <c r="J38" i="115"/>
  <c r="J41" i="115"/>
  <c r="K41" i="115" s="1"/>
  <c r="J44" i="115"/>
  <c r="J382" i="112"/>
  <c r="J1531" i="121" s="1"/>
  <c r="O239" i="112"/>
  <c r="O1396" i="121" s="1"/>
  <c r="J307" i="112"/>
  <c r="J1456" i="121" s="1"/>
  <c r="BB427" i="112"/>
  <c r="BA427" i="112"/>
  <c r="AZ427" i="112"/>
  <c r="AW435" i="112"/>
  <c r="J303" i="112"/>
  <c r="BC427" i="112"/>
  <c r="AV435" i="112"/>
  <c r="O100" i="112"/>
  <c r="O1257" i="121" s="1"/>
  <c r="AX431" i="112"/>
  <c r="AW431" i="112"/>
  <c r="AV431" i="112"/>
  <c r="BA435" i="112"/>
  <c r="AZ435" i="112"/>
  <c r="AJ456" i="112"/>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AZ425" i="112"/>
  <c r="BA425" i="112"/>
  <c r="O78" i="112"/>
  <c r="P100" i="112"/>
  <c r="P1257" i="121" s="1"/>
  <c r="P143" i="112"/>
  <c r="BB431" i="112"/>
  <c r="BA431" i="112"/>
  <c r="AZ431" i="112"/>
  <c r="AJ457" i="112"/>
  <c r="AZ436" i="112"/>
  <c r="BA436" i="112"/>
  <c r="J383" i="112"/>
  <c r="J1532" i="121" s="1"/>
  <c r="AI456" i="112"/>
  <c r="O20" i="112"/>
  <c r="O1177" i="121" s="1"/>
  <c r="BB426" i="112"/>
  <c r="AZ426" i="112"/>
  <c r="BA426" i="112"/>
  <c r="AX427" i="112"/>
  <c r="BB429" i="112"/>
  <c r="BA429" i="112"/>
  <c r="AZ429" i="112"/>
  <c r="AJ449" i="112"/>
  <c r="AY427" i="112"/>
  <c r="AY431" i="112"/>
  <c r="AI458" i="112"/>
  <c r="L238" i="112"/>
  <c r="J378" i="112"/>
  <c r="AV433" i="112"/>
  <c r="AI457" i="112"/>
  <c r="K383" i="112"/>
  <c r="AJ458" i="112"/>
  <c r="F14" i="111"/>
  <c r="H98"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L19" i="110" l="1"/>
  <c r="M19" i="110" s="1"/>
  <c r="L24" i="110"/>
  <c r="M24" i="110" s="1"/>
  <c r="H729" i="121"/>
  <c r="H737" i="121" s="1"/>
  <c r="E16" i="87"/>
  <c r="I759" i="121"/>
  <c r="I767" i="121" s="1"/>
  <c r="E69" i="111"/>
  <c r="O212" i="112"/>
  <c r="O1369" i="121" s="1"/>
  <c r="AV425" i="112"/>
  <c r="K35" i="115"/>
  <c r="C18" i="100"/>
  <c r="L34" i="106"/>
  <c r="K16" i="87"/>
  <c r="E23" i="87"/>
  <c r="E821" i="121"/>
  <c r="E828" i="121" s="1"/>
  <c r="AW427" i="112"/>
  <c r="O207" i="112"/>
  <c r="O1364" i="121" s="1"/>
  <c r="J1459" i="121" s="1"/>
  <c r="K33" i="115"/>
  <c r="K52" i="115" s="1"/>
  <c r="K54" i="115" s="1"/>
  <c r="K68" i="115" s="1"/>
  <c r="K70" i="115" s="1"/>
  <c r="L21" i="110"/>
  <c r="M21" i="110" s="1"/>
  <c r="I791" i="121"/>
  <c r="I798" i="121" s="1"/>
  <c r="D729" i="121"/>
  <c r="D737" i="121" s="1"/>
  <c r="E100" i="111"/>
  <c r="E793" i="121"/>
  <c r="E800" i="121" s="1"/>
  <c r="E761" i="121"/>
  <c r="E769" i="121" s="1"/>
  <c r="E27" i="87"/>
  <c r="AV427" i="112"/>
  <c r="E37" i="87"/>
  <c r="K12" i="87"/>
  <c r="Q224" i="110"/>
  <c r="B14" i="82"/>
  <c r="E41" i="107"/>
  <c r="K39" i="87"/>
  <c r="K793" i="121"/>
  <c r="K800" i="121" s="1"/>
  <c r="K100" i="111"/>
  <c r="E42" i="87"/>
  <c r="D821" i="121"/>
  <c r="D828" i="121" s="1"/>
  <c r="D128" i="111"/>
  <c r="H11" i="87"/>
  <c r="C728" i="121"/>
  <c r="C736" i="121" s="1"/>
  <c r="C36" i="111"/>
  <c r="H33" i="87"/>
  <c r="E792" i="121"/>
  <c r="E799" i="121" s="1"/>
  <c r="E99" i="111"/>
  <c r="H21" i="87"/>
  <c r="C760" i="121"/>
  <c r="C768" i="121" s="1"/>
  <c r="C68" i="111"/>
  <c r="H34" i="87"/>
  <c r="F792" i="121"/>
  <c r="F799" i="121" s="1"/>
  <c r="F99" i="111"/>
  <c r="K11" i="87"/>
  <c r="C729" i="121"/>
  <c r="C737" i="121" s="1"/>
  <c r="C37" i="111"/>
  <c r="BC425" i="112"/>
  <c r="P1194" i="121"/>
  <c r="E35" i="87"/>
  <c r="G791" i="121"/>
  <c r="G798" i="121" s="1"/>
  <c r="G98" i="111"/>
  <c r="G67" i="111"/>
  <c r="E25" i="87"/>
  <c r="G759" i="121"/>
  <c r="G767" i="121" s="1"/>
  <c r="B37" i="111"/>
  <c r="K10" i="87"/>
  <c r="E40" i="87"/>
  <c r="B821" i="121"/>
  <c r="B828" i="121" s="1"/>
  <c r="B128" i="111"/>
  <c r="H42" i="87"/>
  <c r="D822" i="121"/>
  <c r="D829" i="121" s="1"/>
  <c r="D129" i="111"/>
  <c r="H18" i="87"/>
  <c r="J728" i="121"/>
  <c r="J736" i="121" s="1"/>
  <c r="J36" i="111"/>
  <c r="H38" i="87"/>
  <c r="J792" i="121"/>
  <c r="J799" i="121" s="1"/>
  <c r="J99" i="111"/>
  <c r="H28" i="87"/>
  <c r="J760" i="121"/>
  <c r="J768" i="121" s="1"/>
  <c r="J68" i="111"/>
  <c r="K35" i="87"/>
  <c r="G793" i="121"/>
  <c r="G800" i="121" s="1"/>
  <c r="G100" i="111"/>
  <c r="G69" i="111"/>
  <c r="K25" i="87"/>
  <c r="G761" i="121"/>
  <c r="G769" i="121" s="1"/>
  <c r="F37" i="111"/>
  <c r="K14" i="87"/>
  <c r="F729" i="121"/>
  <c r="F737" i="121" s="1"/>
  <c r="E30" i="87"/>
  <c r="B791" i="121"/>
  <c r="B798" i="121" s="1"/>
  <c r="B98" i="111"/>
  <c r="H26" i="87"/>
  <c r="H760" i="121"/>
  <c r="H768" i="121" s="1"/>
  <c r="H68" i="111"/>
  <c r="H15" i="87"/>
  <c r="G728" i="121"/>
  <c r="G736" i="121" s="1"/>
  <c r="G36" i="111"/>
  <c r="E36" i="87"/>
  <c r="H791" i="121"/>
  <c r="H798" i="121" s="1"/>
  <c r="H24" i="87"/>
  <c r="F760" i="121"/>
  <c r="F768" i="121" s="1"/>
  <c r="F68" i="111"/>
  <c r="H13" i="87"/>
  <c r="E728" i="121"/>
  <c r="E736" i="121" s="1"/>
  <c r="E36" i="111"/>
  <c r="K36" i="115"/>
  <c r="H19" i="87"/>
  <c r="K728" i="121"/>
  <c r="K736" i="121" s="1"/>
  <c r="K36" i="111"/>
  <c r="P20" i="112"/>
  <c r="P1177" i="121" s="1"/>
  <c r="K43" i="87"/>
  <c r="E823" i="121"/>
  <c r="E830" i="121" s="1"/>
  <c r="E130" i="111"/>
  <c r="K36" i="87"/>
  <c r="H793" i="121"/>
  <c r="H800" i="121" s="1"/>
  <c r="H100" i="111"/>
  <c r="E38" i="87"/>
  <c r="J791" i="121"/>
  <c r="J798" i="121" s="1"/>
  <c r="J98" i="111"/>
  <c r="K22" i="87"/>
  <c r="D761" i="121"/>
  <c r="D769" i="121" s="1"/>
  <c r="D69" i="111"/>
  <c r="R117" i="111"/>
  <c r="S117" i="111" s="1"/>
  <c r="BB425" i="112"/>
  <c r="D36" i="111"/>
  <c r="H12" i="87"/>
  <c r="D728" i="121"/>
  <c r="D736" i="121" s="1"/>
  <c r="K38" i="87"/>
  <c r="J793" i="121"/>
  <c r="J800" i="121" s="1"/>
  <c r="J100" i="111"/>
  <c r="K28" i="87"/>
  <c r="J761" i="121"/>
  <c r="J769" i="121" s="1"/>
  <c r="J69" i="111"/>
  <c r="H39" i="87"/>
  <c r="K792" i="121"/>
  <c r="K799" i="121" s="1"/>
  <c r="K99" i="111"/>
  <c r="H10" i="87"/>
  <c r="B728" i="121"/>
  <c r="B736" i="121" s="1"/>
  <c r="B36" i="111"/>
  <c r="B99" i="111"/>
  <c r="H30" i="87"/>
  <c r="B792" i="121"/>
  <c r="B799" i="121" s="1"/>
  <c r="H20" i="87"/>
  <c r="B760" i="121"/>
  <c r="B768" i="121" s="1"/>
  <c r="B68" i="111"/>
  <c r="BC426" i="112"/>
  <c r="P1212" i="121"/>
  <c r="H37" i="87"/>
  <c r="I792" i="121"/>
  <c r="I799" i="121" s="1"/>
  <c r="I99" i="111"/>
  <c r="I68" i="111"/>
  <c r="H27" i="87"/>
  <c r="I760" i="121"/>
  <c r="I768" i="121" s="1"/>
  <c r="H16" i="87"/>
  <c r="H728" i="121"/>
  <c r="H736" i="121" s="1"/>
  <c r="H36" i="111"/>
  <c r="E28" i="87"/>
  <c r="J759" i="121"/>
  <c r="J767" i="121" s="1"/>
  <c r="J67" i="111"/>
  <c r="E17" i="87"/>
  <c r="I727" i="121"/>
  <c r="I735" i="121" s="1"/>
  <c r="I35" i="111"/>
  <c r="E26" i="87"/>
  <c r="H759" i="121"/>
  <c r="H767" i="121" s="1"/>
  <c r="H67" i="111"/>
  <c r="E15" i="87"/>
  <c r="G727" i="121"/>
  <c r="G735" i="121" s="1"/>
  <c r="G35" i="111"/>
  <c r="K69" i="111"/>
  <c r="K29" i="87"/>
  <c r="K761" i="121"/>
  <c r="K769" i="121" s="1"/>
  <c r="K44" i="87"/>
  <c r="F823" i="121"/>
  <c r="F830" i="121" s="1"/>
  <c r="F130" i="111"/>
  <c r="F22" i="111"/>
  <c r="F24" i="111"/>
  <c r="F724" i="121" s="1"/>
  <c r="C69" i="111"/>
  <c r="K21" i="87"/>
  <c r="C761" i="121"/>
  <c r="C769" i="121" s="1"/>
  <c r="H41" i="87"/>
  <c r="C822" i="121"/>
  <c r="C829" i="121" s="1"/>
  <c r="C129" i="111"/>
  <c r="K19" i="87"/>
  <c r="K729" i="121"/>
  <c r="K737" i="121" s="1"/>
  <c r="K37" i="111"/>
  <c r="K37" i="115"/>
  <c r="K13" i="87"/>
  <c r="E729" i="121"/>
  <c r="E737" i="121" s="1"/>
  <c r="E37" i="111"/>
  <c r="K45" i="115"/>
  <c r="E14" i="87"/>
  <c r="F727" i="121"/>
  <c r="F735" i="121" s="1"/>
  <c r="K30" i="87"/>
  <c r="B100" i="111"/>
  <c r="K20" i="87"/>
  <c r="B69" i="111"/>
  <c r="H31" i="87"/>
  <c r="C792" i="121"/>
  <c r="C799" i="121" s="1"/>
  <c r="C99" i="111"/>
  <c r="E32" i="87"/>
  <c r="D791" i="121"/>
  <c r="D798" i="121" s="1"/>
  <c r="E22" i="87"/>
  <c r="D759" i="121"/>
  <c r="D767" i="121" s="1"/>
  <c r="D67" i="111"/>
  <c r="K15" i="87"/>
  <c r="G729" i="121"/>
  <c r="G737" i="121" s="1"/>
  <c r="G37" i="111"/>
  <c r="E39" i="87"/>
  <c r="K791" i="121"/>
  <c r="K798" i="121" s="1"/>
  <c r="K98" i="111"/>
  <c r="K67" i="111"/>
  <c r="E29" i="87"/>
  <c r="K759" i="121"/>
  <c r="K767" i="121" s="1"/>
  <c r="E18" i="87"/>
  <c r="J727" i="121"/>
  <c r="J735" i="121" s="1"/>
  <c r="E20" i="87"/>
  <c r="B759" i="121"/>
  <c r="B767" i="121" s="1"/>
  <c r="B67" i="111"/>
  <c r="BC429" i="112"/>
  <c r="P1274" i="121"/>
  <c r="K31" i="87"/>
  <c r="C793" i="121"/>
  <c r="C800" i="121" s="1"/>
  <c r="C100" i="111"/>
  <c r="H36" i="87"/>
  <c r="H792" i="121"/>
  <c r="H799" i="121" s="1"/>
  <c r="H99" i="111"/>
  <c r="K32" i="87"/>
  <c r="D793" i="121"/>
  <c r="D800" i="121" s="1"/>
  <c r="D100" i="111"/>
  <c r="E68" i="111"/>
  <c r="H23" i="87"/>
  <c r="E760" i="121"/>
  <c r="E768" i="121" s="1"/>
  <c r="H43" i="87"/>
  <c r="E822" i="121"/>
  <c r="E829" i="121" s="1"/>
  <c r="E129" i="111"/>
  <c r="E13" i="87"/>
  <c r="E727" i="121"/>
  <c r="E735" i="121" s="1"/>
  <c r="E35" i="111"/>
  <c r="H29" i="87"/>
  <c r="K760" i="121"/>
  <c r="K768" i="121" s="1"/>
  <c r="K68" i="111"/>
  <c r="K26" i="87"/>
  <c r="H761" i="121"/>
  <c r="H769" i="121" s="1"/>
  <c r="H69" i="111"/>
  <c r="H40" i="87"/>
  <c r="B822" i="121"/>
  <c r="B829" i="121" s="1"/>
  <c r="B129" i="111"/>
  <c r="K24" i="87"/>
  <c r="F761" i="121"/>
  <c r="F769" i="121" s="1"/>
  <c r="F69" i="111"/>
  <c r="K51" i="115"/>
  <c r="H44" i="87"/>
  <c r="F822" i="121"/>
  <c r="F829" i="121" s="1"/>
  <c r="F129" i="111"/>
  <c r="H32" i="87"/>
  <c r="D792" i="121"/>
  <c r="D799" i="121" s="1"/>
  <c r="D99" i="111"/>
  <c r="H22" i="87"/>
  <c r="D760" i="121"/>
  <c r="D768" i="121" s="1"/>
  <c r="D68" i="111"/>
  <c r="H17" i="87"/>
  <c r="I728" i="121"/>
  <c r="I736" i="121" s="1"/>
  <c r="I36" i="111"/>
  <c r="E31" i="87"/>
  <c r="C791" i="121"/>
  <c r="C798" i="121" s="1"/>
  <c r="C98" i="111"/>
  <c r="C67" i="111"/>
  <c r="E21" i="87"/>
  <c r="C759" i="121"/>
  <c r="C767" i="121" s="1"/>
  <c r="B35" i="111"/>
  <c r="E10" i="87"/>
  <c r="B727" i="121"/>
  <c r="B735" i="121" s="1"/>
  <c r="K42" i="87"/>
  <c r="D823" i="121"/>
  <c r="D830" i="121" s="1"/>
  <c r="D130" i="111"/>
  <c r="E11" i="87"/>
  <c r="C727" i="121"/>
  <c r="C735" i="121" s="1"/>
  <c r="C35" i="111"/>
  <c r="K34" i="87"/>
  <c r="F793" i="121"/>
  <c r="F800" i="121" s="1"/>
  <c r="F100" i="111"/>
  <c r="P212" i="112"/>
  <c r="P1372" i="121"/>
  <c r="O55" i="112"/>
  <c r="O1212" i="121" s="1"/>
  <c r="O1235" i="121"/>
  <c r="K18" i="87"/>
  <c r="J729" i="121"/>
  <c r="J737" i="121" s="1"/>
  <c r="J37" i="111"/>
  <c r="K44" i="115"/>
  <c r="K39" i="115"/>
  <c r="AD124" i="107"/>
  <c r="E41" i="87"/>
  <c r="C821" i="121"/>
  <c r="C828" i="121" s="1"/>
  <c r="C128" i="111"/>
  <c r="E34" i="87"/>
  <c r="F791" i="121"/>
  <c r="F798" i="121" s="1"/>
  <c r="F98" i="111"/>
  <c r="E24" i="87"/>
  <c r="F759" i="121"/>
  <c r="F767" i="121" s="1"/>
  <c r="F67" i="111"/>
  <c r="K17" i="87"/>
  <c r="I729" i="121"/>
  <c r="I737" i="121" s="1"/>
  <c r="I37" i="111"/>
  <c r="E19" i="87"/>
  <c r="K727" i="121"/>
  <c r="K735" i="121" s="1"/>
  <c r="K35" i="111"/>
  <c r="E44" i="87"/>
  <c r="F821" i="121"/>
  <c r="F828" i="121" s="1"/>
  <c r="F128" i="111"/>
  <c r="K40" i="87"/>
  <c r="B130" i="111"/>
  <c r="AW425" i="112"/>
  <c r="AX425" i="112"/>
  <c r="AY425" i="112"/>
  <c r="N51" i="106"/>
  <c r="I104" i="121"/>
  <c r="P94" i="121" s="1"/>
  <c r="B4" i="82"/>
  <c r="J176" i="107"/>
  <c r="J178" i="107" s="1"/>
  <c r="J180" i="107" s="1"/>
  <c r="I61" i="106"/>
  <c r="I62" i="106" s="1"/>
  <c r="P47" i="106" s="1"/>
  <c r="P90" i="121" s="1"/>
  <c r="L77" i="121"/>
  <c r="L78" i="121" s="1"/>
  <c r="O1278" i="121"/>
  <c r="O1274" i="121"/>
  <c r="AV429" i="112"/>
  <c r="AW429" i="112"/>
  <c r="AY429" i="112"/>
  <c r="AX429" i="112"/>
  <c r="L1194" i="121"/>
  <c r="Q1201" i="121"/>
  <c r="P310" i="112"/>
  <c r="P1364" i="121"/>
  <c r="J310" i="112"/>
  <c r="E3" i="86"/>
  <c r="R29" i="111"/>
  <c r="B44" i="111"/>
  <c r="B744" i="121" s="1"/>
  <c r="R32" i="111"/>
  <c r="R36" i="111"/>
  <c r="R37" i="111"/>
  <c r="R25" i="111"/>
  <c r="R40" i="111"/>
  <c r="R39" i="111"/>
  <c r="R38" i="111"/>
  <c r="R31" i="111"/>
  <c r="R30" i="111"/>
  <c r="D14" i="86"/>
  <c r="C732" i="121"/>
  <c r="C14" i="86"/>
  <c r="B732" i="121"/>
  <c r="R21" i="111"/>
  <c r="R22" i="111"/>
  <c r="R26" i="111"/>
  <c r="I34" i="86"/>
  <c r="E764" i="121"/>
  <c r="R34" i="111"/>
  <c r="R33" i="111"/>
  <c r="R24" i="111"/>
  <c r="R28" i="111"/>
  <c r="R23" i="111"/>
  <c r="H34" i="86"/>
  <c r="D764" i="121"/>
  <c r="G34" i="86"/>
  <c r="C764" i="121"/>
  <c r="C54" i="86"/>
  <c r="F764" i="121"/>
  <c r="I14" i="86"/>
  <c r="H732" i="121"/>
  <c r="R27" i="111"/>
  <c r="E34" i="86"/>
  <c r="K732" i="121"/>
  <c r="D34" i="86"/>
  <c r="J732" i="121"/>
  <c r="C34" i="86"/>
  <c r="I732" i="121"/>
  <c r="R35" i="111"/>
  <c r="I47" i="106" s="1"/>
  <c r="I90" i="121" s="1"/>
  <c r="E14" i="86"/>
  <c r="D732" i="121"/>
  <c r="H14" i="86"/>
  <c r="G732" i="121"/>
  <c r="G14" i="86"/>
  <c r="F732" i="121"/>
  <c r="F14" i="86"/>
  <c r="E732" i="121"/>
  <c r="F34" i="86"/>
  <c r="B764" i="121"/>
  <c r="B36" i="87"/>
  <c r="H790" i="121"/>
  <c r="B21" i="87"/>
  <c r="C65" i="82"/>
  <c r="C758" i="121"/>
  <c r="B41" i="87"/>
  <c r="C820" i="121"/>
  <c r="B34" i="87"/>
  <c r="F790" i="121"/>
  <c r="B43" i="87"/>
  <c r="E820" i="121"/>
  <c r="D65" i="82"/>
  <c r="B22" i="87"/>
  <c r="D758" i="121"/>
  <c r="B32" i="87"/>
  <c r="D790" i="121"/>
  <c r="J45" i="82"/>
  <c r="B18" i="87"/>
  <c r="J726" i="121"/>
  <c r="B39" i="87"/>
  <c r="K790" i="121"/>
  <c r="F65" i="82"/>
  <c r="B24" i="87"/>
  <c r="F758" i="121"/>
  <c r="B44" i="87"/>
  <c r="F820" i="121"/>
  <c r="B30" i="87"/>
  <c r="B790" i="121"/>
  <c r="B37" i="87"/>
  <c r="I790" i="121"/>
  <c r="K45" i="82"/>
  <c r="B19" i="87"/>
  <c r="K726" i="121"/>
  <c r="B28" i="87"/>
  <c r="J65" i="82"/>
  <c r="J758" i="121"/>
  <c r="B29" i="87"/>
  <c r="K65" i="82"/>
  <c r="K758" i="121"/>
  <c r="F45" i="82"/>
  <c r="B14" i="87"/>
  <c r="F726" i="121"/>
  <c r="B35" i="87"/>
  <c r="G790" i="121"/>
  <c r="B65" i="82"/>
  <c r="B20" i="87"/>
  <c r="B758" i="121"/>
  <c r="B40" i="87"/>
  <c r="B820" i="121"/>
  <c r="I65" i="82"/>
  <c r="B27" i="87"/>
  <c r="I758" i="121"/>
  <c r="B16" i="87"/>
  <c r="H45" i="82"/>
  <c r="H726" i="121"/>
  <c r="B33" i="87"/>
  <c r="E790" i="121"/>
  <c r="G45" i="82"/>
  <c r="B15" i="87"/>
  <c r="G726" i="121"/>
  <c r="B13" i="87"/>
  <c r="E45" i="82"/>
  <c r="E726" i="121"/>
  <c r="B42" i="87"/>
  <c r="D820" i="121"/>
  <c r="B25" i="87"/>
  <c r="G65" i="82"/>
  <c r="G758" i="121"/>
  <c r="B10" i="87"/>
  <c r="B45" i="82"/>
  <c r="B726" i="121"/>
  <c r="C75" i="100"/>
  <c r="B40" i="111"/>
  <c r="C40" i="111" s="1"/>
  <c r="B31" i="87"/>
  <c r="C790" i="121"/>
  <c r="B17" i="87"/>
  <c r="I45" i="82"/>
  <c r="I726" i="121"/>
  <c r="B38" i="87"/>
  <c r="J790" i="121"/>
  <c r="E65" i="82"/>
  <c r="B23" i="87"/>
  <c r="E758" i="121"/>
  <c r="B12" i="87"/>
  <c r="D45" i="82"/>
  <c r="D726" i="121"/>
  <c r="H65" i="82"/>
  <c r="B26" i="87"/>
  <c r="H758" i="121"/>
  <c r="C45" i="82"/>
  <c r="B11" i="87"/>
  <c r="C726" i="121"/>
  <c r="E31" i="111"/>
  <c r="D53" i="82"/>
  <c r="D731" i="121"/>
  <c r="O157" i="110"/>
  <c r="O156" i="110"/>
  <c r="K156" i="110"/>
  <c r="M155" i="110"/>
  <c r="L152" i="110"/>
  <c r="M158" i="110"/>
  <c r="M121" i="110"/>
  <c r="K115" i="110"/>
  <c r="N28" i="121"/>
  <c r="Q672" i="121"/>
  <c r="N670" i="121" s="1"/>
  <c r="P4" i="110"/>
  <c r="O28" i="121"/>
  <c r="P442" i="121"/>
  <c r="M487" i="121"/>
  <c r="M488" i="121" s="1"/>
  <c r="M49" i="110"/>
  <c r="M50" i="110" s="1"/>
  <c r="B715" i="121" s="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AX428" i="112"/>
  <c r="AW428" i="112"/>
  <c r="AV428" i="112"/>
  <c r="AY428"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06" i="112" l="1"/>
  <c r="J1455" i="121" s="1"/>
  <c r="J381" i="112"/>
  <c r="I105" i="121"/>
  <c r="P1369" i="121"/>
  <c r="K1530" i="121" s="1"/>
  <c r="K1529" i="121" s="1"/>
  <c r="K306" i="112"/>
  <c r="K1455" i="121" s="1"/>
  <c r="K381" i="112"/>
  <c r="K380" i="112" s="1"/>
  <c r="P95" i="121"/>
  <c r="P96" i="121" s="1"/>
  <c r="G24" i="111"/>
  <c r="G724" i="121" s="1"/>
  <c r="G22" i="111"/>
  <c r="B15" i="82"/>
  <c r="J183" i="107"/>
  <c r="L35" i="106"/>
  <c r="P52" i="106"/>
  <c r="P51" i="106"/>
  <c r="O1524" i="121"/>
  <c r="K1524" i="121" s="1"/>
  <c r="O368" i="112"/>
  <c r="O1517" i="121" s="1"/>
  <c r="I1517" i="121" s="1"/>
  <c r="J380" i="112"/>
  <c r="J1529" i="121" s="1"/>
  <c r="J1530" i="121"/>
  <c r="P303" i="112"/>
  <c r="P1459" i="121"/>
  <c r="C44" i="111"/>
  <c r="B766" i="121"/>
  <c r="B770" i="121"/>
  <c r="I801" i="121"/>
  <c r="I797" i="121"/>
  <c r="F766" i="121"/>
  <c r="F770" i="121"/>
  <c r="C740" i="121"/>
  <c r="E766" i="121"/>
  <c r="E770" i="121"/>
  <c r="J801" i="121"/>
  <c r="J797" i="121"/>
  <c r="I738" i="121"/>
  <c r="I734" i="121"/>
  <c r="D10" i="86"/>
  <c r="C10" i="86"/>
  <c r="B740" i="121"/>
  <c r="D827" i="121"/>
  <c r="D831" i="121"/>
  <c r="G738" i="121"/>
  <c r="G734" i="121"/>
  <c r="H734" i="121"/>
  <c r="H738" i="121"/>
  <c r="G797" i="121"/>
  <c r="G801" i="121"/>
  <c r="F734" i="121"/>
  <c r="F738" i="121"/>
  <c r="K766" i="121"/>
  <c r="K770" i="121"/>
  <c r="J766" i="121"/>
  <c r="J770" i="121"/>
  <c r="J734" i="121"/>
  <c r="J738" i="121"/>
  <c r="F797" i="121"/>
  <c r="F801" i="121"/>
  <c r="C766" i="121"/>
  <c r="C770" i="121"/>
  <c r="D40" i="111"/>
  <c r="E10" i="86" s="1"/>
  <c r="C797" i="121"/>
  <c r="C801" i="121"/>
  <c r="E797" i="121"/>
  <c r="E801" i="121"/>
  <c r="I766" i="121"/>
  <c r="I770" i="121"/>
  <c r="K797" i="121"/>
  <c r="K801" i="121"/>
  <c r="D797" i="121"/>
  <c r="D801" i="121"/>
  <c r="D766" i="121"/>
  <c r="D770" i="121"/>
  <c r="E827" i="121"/>
  <c r="E831" i="121"/>
  <c r="C827" i="121"/>
  <c r="C831" i="121"/>
  <c r="H797" i="121"/>
  <c r="H801" i="121"/>
  <c r="C738" i="121"/>
  <c r="C734" i="121"/>
  <c r="H766" i="121"/>
  <c r="H770" i="121"/>
  <c r="D734" i="121"/>
  <c r="D738" i="121"/>
  <c r="G766" i="121"/>
  <c r="G770" i="121"/>
  <c r="E734" i="121"/>
  <c r="E738" i="121"/>
  <c r="B827" i="121"/>
  <c r="B831" i="121"/>
  <c r="K738" i="121"/>
  <c r="K734" i="121"/>
  <c r="B797" i="121"/>
  <c r="B801" i="121"/>
  <c r="F831" i="121"/>
  <c r="F827" i="121"/>
  <c r="F31" i="111"/>
  <c r="E53" i="82"/>
  <c r="E731" i="121"/>
  <c r="P152" i="110"/>
  <c r="AD108" i="107"/>
  <c r="AF108" i="107" s="1"/>
  <c r="Q161" i="110"/>
  <c r="Q599" i="121" s="1"/>
  <c r="Q165" i="110"/>
  <c r="Q603" i="121" s="1"/>
  <c r="B15" i="111"/>
  <c r="E15" i="111" s="1"/>
  <c r="H183" i="110"/>
  <c r="H621" i="121" s="1"/>
  <c r="P621" i="121" s="1"/>
  <c r="O1298" i="121"/>
  <c r="AY430" i="112"/>
  <c r="AV430" i="112"/>
  <c r="AW430" i="112"/>
  <c r="AX430" i="112"/>
  <c r="P1298" i="121"/>
  <c r="BC430" i="112"/>
  <c r="BC449" i="112" s="1"/>
  <c r="BB430" i="112"/>
  <c r="BB449" i="112" s="1"/>
  <c r="P407" i="112" s="1"/>
  <c r="AZ430" i="112"/>
  <c r="BA430" i="112"/>
  <c r="Q166" i="110"/>
  <c r="Q604" i="121" s="1"/>
  <c r="P121" i="110"/>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AV438" i="112"/>
  <c r="O286" i="112"/>
  <c r="I286" i="112"/>
  <c r="AW438" i="112"/>
  <c r="E274" i="112"/>
  <c r="H14" i="111"/>
  <c r="G21" i="111"/>
  <c r="Q167" i="110"/>
  <c r="Q605" i="121" s="1"/>
  <c r="P157" i="110"/>
  <c r="K65" i="110"/>
  <c r="P63" i="110"/>
  <c r="Q164" i="110"/>
  <c r="Q602" i="121" s="1"/>
  <c r="K170" i="110"/>
  <c r="P168" i="110"/>
  <c r="Q163" i="110"/>
  <c r="Q601" i="121" s="1"/>
  <c r="P125" i="110"/>
  <c r="P131" i="110"/>
  <c r="P155" i="110"/>
  <c r="P111" i="110"/>
  <c r="P158" i="110"/>
  <c r="M76" i="110" l="1"/>
  <c r="H24" i="111"/>
  <c r="H724" i="121" s="1"/>
  <c r="H22" i="111"/>
  <c r="P53" i="106"/>
  <c r="I368" i="112"/>
  <c r="AY446" i="112"/>
  <c r="AY449" i="112" s="1"/>
  <c r="AX446" i="112"/>
  <c r="AX449" i="112" s="1"/>
  <c r="O407" i="112" s="1"/>
  <c r="O1556" i="121" s="1"/>
  <c r="O1163" i="121" s="1"/>
  <c r="P1452" i="121"/>
  <c r="AJ459" i="112"/>
  <c r="AZ440" i="112"/>
  <c r="C744" i="121"/>
  <c r="D44" i="111"/>
  <c r="D740" i="121"/>
  <c r="E40" i="111"/>
  <c r="G31" i="111"/>
  <c r="F53" i="82"/>
  <c r="F731" i="121"/>
  <c r="P183" i="110"/>
  <c r="C15" i="111"/>
  <c r="C52" i="100"/>
  <c r="D15" i="111"/>
  <c r="G15" i="111"/>
  <c r="F15" i="111"/>
  <c r="B716" i="121"/>
  <c r="B717" i="121" s="1"/>
  <c r="B720" i="121" s="1"/>
  <c r="B725" i="121" s="1"/>
  <c r="B16" i="111"/>
  <c r="C16" i="111" s="1"/>
  <c r="AW449" i="112"/>
  <c r="AZ439" i="112"/>
  <c r="P1435" i="121"/>
  <c r="AV439" i="112"/>
  <c r="O1435" i="121"/>
  <c r="M79" i="110"/>
  <c r="H7" i="100"/>
  <c r="M88" i="110"/>
  <c r="O85" i="110"/>
  <c r="N76" i="110"/>
  <c r="L73" i="110"/>
  <c r="N175" i="110"/>
  <c r="N613" i="121" s="1"/>
  <c r="N79" i="110"/>
  <c r="N88" i="110"/>
  <c r="N73" i="110"/>
  <c r="L82" i="110"/>
  <c r="L175" i="110"/>
  <c r="L613" i="121" s="1"/>
  <c r="P6" i="112"/>
  <c r="P1556" i="121"/>
  <c r="P116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I14" i="111"/>
  <c r="H21" i="111"/>
  <c r="H15" i="111"/>
  <c r="K172" i="110"/>
  <c r="P172" i="110" s="1"/>
  <c r="P170" i="110"/>
  <c r="P247" i="110"/>
  <c r="K67" i="110"/>
  <c r="P65" i="110"/>
  <c r="B739" i="121" l="1"/>
  <c r="I24" i="111"/>
  <c r="I724" i="121" s="1"/>
  <c r="I22" i="111"/>
  <c r="B733" i="121"/>
  <c r="B734" i="121"/>
  <c r="B738" i="121"/>
  <c r="O6" i="112"/>
  <c r="D744" i="121"/>
  <c r="E44" i="111"/>
  <c r="E740" i="121"/>
  <c r="F40" i="111"/>
  <c r="F10" i="86"/>
  <c r="H31" i="111"/>
  <c r="G53" i="82"/>
  <c r="G731" i="121"/>
  <c r="C17" i="111"/>
  <c r="C20" i="111" s="1"/>
  <c r="E16" i="111"/>
  <c r="H16" i="111"/>
  <c r="H17" i="111" s="1"/>
  <c r="H20" i="111" s="1"/>
  <c r="C53" i="100"/>
  <c r="D16" i="111"/>
  <c r="D17" i="111" s="1"/>
  <c r="D20" i="111" s="1"/>
  <c r="G16" i="111"/>
  <c r="G17" i="111" s="1"/>
  <c r="G20" i="111" s="1"/>
  <c r="F16" i="111"/>
  <c r="F17" i="111" s="1"/>
  <c r="F20" i="111" s="1"/>
  <c r="B17" i="111"/>
  <c r="K6" i="111" s="1"/>
  <c r="AV449"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16" i="111"/>
  <c r="Q239" i="110"/>
  <c r="N239" i="110"/>
  <c r="Q251" i="110"/>
  <c r="P67" i="110"/>
  <c r="Q234" i="110" s="1"/>
  <c r="N232" i="110" s="1"/>
  <c r="K175" i="110"/>
  <c r="K613" i="121" s="1"/>
  <c r="K85" i="110"/>
  <c r="K73" i="110"/>
  <c r="K82" i="110"/>
  <c r="K70" i="110"/>
  <c r="K76" i="110"/>
  <c r="K79" i="110"/>
  <c r="K88" i="110"/>
  <c r="J24" i="111" l="1"/>
  <c r="J724" i="121" s="1"/>
  <c r="J22" i="111"/>
  <c r="E17" i="111"/>
  <c r="E20" i="111" s="1"/>
  <c r="B39" i="111"/>
  <c r="E744" i="121"/>
  <c r="F44" i="111"/>
  <c r="F740" i="121"/>
  <c r="G40" i="111"/>
  <c r="G10" i="86"/>
  <c r="I31" i="111"/>
  <c r="H53" i="82"/>
  <c r="H731" i="121"/>
  <c r="K8" i="111"/>
  <c r="C54" i="100"/>
  <c r="B20" i="111"/>
  <c r="B25" i="111" s="1"/>
  <c r="L4" i="95"/>
  <c r="J4" i="9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I39" i="111" l="1"/>
  <c r="B34" i="111"/>
  <c r="B38" i="111"/>
  <c r="K24" i="111"/>
  <c r="K724" i="121" s="1"/>
  <c r="K22" i="111"/>
  <c r="F744" i="121"/>
  <c r="G44" i="111"/>
  <c r="G740" i="121"/>
  <c r="H40" i="111"/>
  <c r="H10" i="86"/>
  <c r="J31" i="111"/>
  <c r="I53" i="82"/>
  <c r="I731" i="121"/>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9" i="111" l="1"/>
  <c r="E34" i="111"/>
  <c r="E38" i="111"/>
  <c r="D38" i="111"/>
  <c r="D34" i="111"/>
  <c r="G38" i="111"/>
  <c r="G34" i="111"/>
  <c r="K39" i="111"/>
  <c r="B56" i="111"/>
  <c r="B756" i="121" s="1"/>
  <c r="B54" i="111"/>
  <c r="J38" i="111"/>
  <c r="J34" i="111"/>
  <c r="H38" i="111"/>
  <c r="H34" i="111"/>
  <c r="F38" i="111"/>
  <c r="F34" i="111"/>
  <c r="I38" i="111"/>
  <c r="I34" i="111"/>
  <c r="C34" i="111"/>
  <c r="C38" i="111"/>
  <c r="G744" i="121"/>
  <c r="H44" i="111"/>
  <c r="H740" i="121"/>
  <c r="I40" i="111"/>
  <c r="I10" i="86"/>
  <c r="K31" i="111"/>
  <c r="J53" i="82"/>
  <c r="J731" i="121"/>
  <c r="S21" i="11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8" i="111" l="1"/>
  <c r="K34" i="111"/>
  <c r="C56" i="111"/>
  <c r="C756" i="121" s="1"/>
  <c r="C54" i="111"/>
  <c r="H744" i="121"/>
  <c r="I44" i="111"/>
  <c r="I740" i="121"/>
  <c r="J40" i="111"/>
  <c r="C30" i="86"/>
  <c r="B63" i="111"/>
  <c r="K53" i="82"/>
  <c r="K731" i="121"/>
  <c r="K33" i="111"/>
  <c r="E29" i="86" s="1"/>
  <c r="K44" i="82"/>
  <c r="D9" i="86"/>
  <c r="S28" i="111"/>
  <c r="S23" i="111"/>
  <c r="S26" i="111"/>
  <c r="S25" i="111"/>
  <c r="S24" i="111"/>
  <c r="S27" i="111"/>
  <c r="S22" i="111"/>
  <c r="S29" i="111"/>
  <c r="D29" i="86"/>
  <c r="B49" i="111"/>
  <c r="B52" i="111" s="1"/>
  <c r="B57" i="111" s="1"/>
  <c r="D46" i="111"/>
  <c r="C47" i="111"/>
  <c r="C53" i="111"/>
  <c r="C55" i="111"/>
  <c r="G33" i="86" s="1"/>
  <c r="C48" i="111"/>
  <c r="B71" i="111" l="1"/>
  <c r="B70" i="111"/>
  <c r="B66" i="111"/>
  <c r="S30" i="111"/>
  <c r="D54" i="111"/>
  <c r="D56" i="111"/>
  <c r="D756" i="121" s="1"/>
  <c r="I744" i="121"/>
  <c r="J44" i="111"/>
  <c r="J740" i="121"/>
  <c r="K40" i="111"/>
  <c r="D30" i="86"/>
  <c r="C63" i="111"/>
  <c r="B73" i="82"/>
  <c r="B763" i="121"/>
  <c r="B65" i="111"/>
  <c r="F29" i="86" s="1"/>
  <c r="B64" i="82"/>
  <c r="C49" i="111"/>
  <c r="C52" i="111" s="1"/>
  <c r="C57" i="111" s="1"/>
  <c r="E46" i="111"/>
  <c r="D47" i="111"/>
  <c r="D53" i="111"/>
  <c r="D55" i="111"/>
  <c r="H33" i="86" s="1"/>
  <c r="D48" i="111"/>
  <c r="E56" i="111" l="1"/>
  <c r="E756" i="121" s="1"/>
  <c r="E54" i="111"/>
  <c r="C66" i="111"/>
  <c r="C70" i="111"/>
  <c r="C71" i="111"/>
  <c r="J744" i="121"/>
  <c r="K44" i="111"/>
  <c r="K740" i="121"/>
  <c r="B72" i="111"/>
  <c r="E30" i="86"/>
  <c r="D63" i="111"/>
  <c r="C73" i="82"/>
  <c r="C763" i="121"/>
  <c r="S31" i="111"/>
  <c r="C65" i="111"/>
  <c r="G29" i="86" s="1"/>
  <c r="C64" i="82"/>
  <c r="D49" i="111"/>
  <c r="D52" i="111" s="1"/>
  <c r="D57" i="111" s="1"/>
  <c r="F46" i="111"/>
  <c r="E47" i="111"/>
  <c r="E55" i="111"/>
  <c r="I33" i="86" s="1"/>
  <c r="E53" i="111"/>
  <c r="E48" i="111"/>
  <c r="F56" i="111" l="1"/>
  <c r="F756" i="121" s="1"/>
  <c r="F54" i="111"/>
  <c r="D66" i="111"/>
  <c r="D70" i="111"/>
  <c r="D71" i="111"/>
  <c r="K744" i="121"/>
  <c r="B76" i="111"/>
  <c r="B772" i="121"/>
  <c r="C72" i="111"/>
  <c r="F30" i="86"/>
  <c r="E63" i="111"/>
  <c r="D73" i="82"/>
  <c r="D763" i="121"/>
  <c r="S32" i="111"/>
  <c r="D65" i="111"/>
  <c r="H29" i="86" s="1"/>
  <c r="D64" i="82"/>
  <c r="G46" i="111"/>
  <c r="F55" i="111"/>
  <c r="C53" i="86" s="1"/>
  <c r="F47" i="111"/>
  <c r="F53" i="111"/>
  <c r="F48" i="111"/>
  <c r="E49" i="111"/>
  <c r="E52" i="111" s="1"/>
  <c r="E57" i="111" s="1"/>
  <c r="V176" i="72"/>
  <c r="V177" i="72"/>
  <c r="E70" i="111" l="1"/>
  <c r="E66" i="111"/>
  <c r="E71" i="111"/>
  <c r="G56" i="111"/>
  <c r="G756" i="121" s="1"/>
  <c r="G54" i="111"/>
  <c r="B776" i="121"/>
  <c r="C76" i="111"/>
  <c r="C772" i="121"/>
  <c r="D72" i="111"/>
  <c r="G30" i="86"/>
  <c r="F63" i="111"/>
  <c r="E73" i="82"/>
  <c r="E763" i="121"/>
  <c r="S33" i="111"/>
  <c r="E65" i="111"/>
  <c r="E64" i="82"/>
  <c r="H46" i="111"/>
  <c r="G47" i="111"/>
  <c r="G53" i="111"/>
  <c r="G55" i="111"/>
  <c r="D53" i="86" s="1"/>
  <c r="G48" i="111"/>
  <c r="F49" i="111"/>
  <c r="F52" i="111" s="1"/>
  <c r="F57" i="111" s="1"/>
  <c r="F71" i="111" l="1"/>
  <c r="F66" i="111"/>
  <c r="F70" i="111"/>
  <c r="H56" i="111"/>
  <c r="H756" i="121" s="1"/>
  <c r="H54" i="111"/>
  <c r="C776" i="121"/>
  <c r="D76" i="111"/>
  <c r="D772" i="121"/>
  <c r="E72" i="111"/>
  <c r="H30" i="86"/>
  <c r="G63" i="111"/>
  <c r="F73" i="82"/>
  <c r="F763" i="121"/>
  <c r="F65" i="111"/>
  <c r="C49" i="86" s="1"/>
  <c r="F64" i="82"/>
  <c r="S34" i="111"/>
  <c r="I29" i="86"/>
  <c r="I46" i="111"/>
  <c r="H55" i="111"/>
  <c r="E53" i="86" s="1"/>
  <c r="H47" i="111"/>
  <c r="H53" i="111"/>
  <c r="H48" i="111"/>
  <c r="G49" i="111"/>
  <c r="G52" i="111" s="1"/>
  <c r="G57" i="111" s="1"/>
  <c r="I56" i="111" l="1"/>
  <c r="I756" i="121" s="1"/>
  <c r="I54" i="111"/>
  <c r="G71" i="111"/>
  <c r="S35" i="111"/>
  <c r="F47" i="106" s="1"/>
  <c r="G66" i="111"/>
  <c r="G70" i="111"/>
  <c r="D776" i="121"/>
  <c r="E76" i="111"/>
  <c r="E772" i="121"/>
  <c r="F72" i="111"/>
  <c r="I30" i="86"/>
  <c r="H63" i="111"/>
  <c r="G73" i="82"/>
  <c r="G763" i="121"/>
  <c r="G65" i="111"/>
  <c r="S36" i="111" s="1"/>
  <c r="G64" i="82"/>
  <c r="J46" i="111"/>
  <c r="I47" i="111"/>
  <c r="I53" i="111"/>
  <c r="I55" i="111"/>
  <c r="F53" i="86" s="1"/>
  <c r="I48" i="111"/>
  <c r="H49" i="111"/>
  <c r="H52" i="111" s="1"/>
  <c r="H57" i="111" s="1"/>
  <c r="H70" i="111" l="1"/>
  <c r="H66" i="111"/>
  <c r="H71" i="111"/>
  <c r="J56" i="111"/>
  <c r="J756" i="121" s="1"/>
  <c r="J54" i="111"/>
  <c r="E776" i="121"/>
  <c r="F76" i="111"/>
  <c r="F772" i="121"/>
  <c r="G72" i="111"/>
  <c r="C50" i="86"/>
  <c r="I63" i="111"/>
  <c r="H73" i="82"/>
  <c r="H763" i="121"/>
  <c r="L47" i="106"/>
  <c r="L90" i="121" s="1"/>
  <c r="F90" i="121"/>
  <c r="H65" i="111"/>
  <c r="S37" i="111" s="1"/>
  <c r="H64" i="82"/>
  <c r="K46" i="111"/>
  <c r="J55" i="111"/>
  <c r="G53" i="86" s="1"/>
  <c r="J53" i="111"/>
  <c r="J47" i="111"/>
  <c r="J48" i="111"/>
  <c r="I49" i="111"/>
  <c r="I52" i="111" s="1"/>
  <c r="I57" i="111" s="1"/>
  <c r="I71" i="111" l="1"/>
  <c r="I66" i="111"/>
  <c r="I70" i="111"/>
  <c r="K56" i="111"/>
  <c r="K756" i="121" s="1"/>
  <c r="K54" i="111"/>
  <c r="F776" i="121"/>
  <c r="G76" i="111"/>
  <c r="G776" i="121" s="1"/>
  <c r="G772" i="121"/>
  <c r="H72" i="111"/>
  <c r="D50" i="86"/>
  <c r="J63" i="111"/>
  <c r="I73" i="82"/>
  <c r="I763" i="121"/>
  <c r="I65" i="111"/>
  <c r="S38" i="111" s="1"/>
  <c r="I64" i="82"/>
  <c r="J49" i="111"/>
  <c r="J52" i="111" s="1"/>
  <c r="J57" i="111" s="1"/>
  <c r="B78" i="111"/>
  <c r="K53" i="111"/>
  <c r="K55" i="111"/>
  <c r="H53" i="86" s="1"/>
  <c r="K47" i="111"/>
  <c r="K48" i="111"/>
  <c r="I133" i="73"/>
  <c r="G59" i="93"/>
  <c r="G61" i="93"/>
  <c r="J71" i="111" l="1"/>
  <c r="B86" i="111"/>
  <c r="B88" i="111"/>
  <c r="B788" i="121" s="1"/>
  <c r="J70" i="111"/>
  <c r="J66" i="111"/>
  <c r="H772" i="121"/>
  <c r="I72" i="111"/>
  <c r="E50" i="86"/>
  <c r="K63" i="111"/>
  <c r="J73" i="82"/>
  <c r="J763" i="121"/>
  <c r="J65" i="111"/>
  <c r="S39" i="111" s="1"/>
  <c r="J64" i="82"/>
  <c r="K49" i="111"/>
  <c r="K52" i="111" s="1"/>
  <c r="K57" i="111" s="1"/>
  <c r="C78" i="111"/>
  <c r="B85" i="111"/>
  <c r="B87" i="111"/>
  <c r="B79" i="111"/>
  <c r="B80" i="111"/>
  <c r="G62" i="93"/>
  <c r="G63" i="93"/>
  <c r="G58" i="93"/>
  <c r="G60" i="93"/>
  <c r="P47" i="72"/>
  <c r="P46" i="72"/>
  <c r="P45" i="72"/>
  <c r="C88" i="111" l="1"/>
  <c r="C788" i="121" s="1"/>
  <c r="C86" i="111"/>
  <c r="K70" i="111"/>
  <c r="K66" i="111"/>
  <c r="K71" i="111"/>
  <c r="I772" i="121"/>
  <c r="J72" i="111"/>
  <c r="F50" i="86"/>
  <c r="B95" i="111"/>
  <c r="K73" i="82"/>
  <c r="K763" i="121"/>
  <c r="K65" i="111"/>
  <c r="S40" i="111" s="1"/>
  <c r="K64" i="82"/>
  <c r="B81" i="111"/>
  <c r="B84" i="111" s="1"/>
  <c r="B89" i="111" s="1"/>
  <c r="D78" i="111"/>
  <c r="C79" i="111"/>
  <c r="C87" i="111"/>
  <c r="C85" i="111"/>
  <c r="C80" i="111"/>
  <c r="AB57" i="72"/>
  <c r="AB58" i="72"/>
  <c r="AB59" i="72"/>
  <c r="AB60" i="72"/>
  <c r="AB61" i="72"/>
  <c r="B102" i="111" l="1"/>
  <c r="D88" i="111"/>
  <c r="D788" i="121" s="1"/>
  <c r="D86" i="111"/>
  <c r="B96" i="111"/>
  <c r="B796" i="121" s="1"/>
  <c r="B97" i="111"/>
  <c r="B101" i="111"/>
  <c r="J772" i="121"/>
  <c r="K72" i="111"/>
  <c r="G50" i="86"/>
  <c r="C95" i="111"/>
  <c r="B795" i="121"/>
  <c r="E78" i="111"/>
  <c r="D79" i="111"/>
  <c r="D85" i="111"/>
  <c r="D87" i="111"/>
  <c r="D80" i="111"/>
  <c r="C81" i="111"/>
  <c r="C84" i="111" s="1"/>
  <c r="C89" i="111" s="1"/>
  <c r="R344" i="72"/>
  <c r="D4" i="93"/>
  <c r="C102" i="111" l="1"/>
  <c r="E88" i="111"/>
  <c r="E788" i="121" s="1"/>
  <c r="E86" i="111"/>
  <c r="C96" i="111"/>
  <c r="C796" i="121" s="1"/>
  <c r="C101" i="111"/>
  <c r="C97" i="111"/>
  <c r="K772" i="121"/>
  <c r="L100" i="85"/>
  <c r="L70" i="85"/>
  <c r="B103" i="111"/>
  <c r="H50" i="86"/>
  <c r="D95" i="111"/>
  <c r="C795" i="121"/>
  <c r="F78" i="111"/>
  <c r="E79" i="111"/>
  <c r="E85" i="111"/>
  <c r="E87" i="111"/>
  <c r="E80" i="111"/>
  <c r="D81" i="111"/>
  <c r="D84" i="111" s="1"/>
  <c r="D89" i="111" s="1"/>
  <c r="D14" i="100"/>
  <c r="C148" i="90"/>
  <c r="C146" i="90"/>
  <c r="G132" i="90"/>
  <c r="D132" i="90"/>
  <c r="C132" i="90"/>
  <c r="E58" i="90"/>
  <c r="C58" i="90"/>
  <c r="C56" i="90"/>
  <c r="C8" i="90"/>
  <c r="E68" i="89"/>
  <c r="E29" i="89"/>
  <c r="E5" i="89"/>
  <c r="O6" i="86"/>
  <c r="F15" i="85"/>
  <c r="D16" i="83"/>
  <c r="D96" i="111" l="1"/>
  <c r="D796" i="121" s="1"/>
  <c r="D97" i="111"/>
  <c r="D101" i="111"/>
  <c r="D102" i="111"/>
  <c r="F88" i="111"/>
  <c r="F788" i="121" s="1"/>
  <c r="F86" i="111"/>
  <c r="B803" i="121"/>
  <c r="C103" i="111"/>
  <c r="E95" i="111"/>
  <c r="D795" i="121"/>
  <c r="E81" i="111"/>
  <c r="E84" i="111" s="1"/>
  <c r="E89" i="111" s="1"/>
  <c r="G78" i="11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E96" i="111"/>
  <c r="E796" i="121" s="1"/>
  <c r="E101" i="111"/>
  <c r="E97" i="111"/>
  <c r="G88" i="111"/>
  <c r="G788" i="121" s="1"/>
  <c r="G86" i="111"/>
  <c r="C803" i="121"/>
  <c r="D103" i="111"/>
  <c r="F95" i="111"/>
  <c r="E795" i="12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H88" i="111" l="1"/>
  <c r="H788" i="121" s="1"/>
  <c r="H86" i="111"/>
  <c r="F96" i="111"/>
  <c r="F796" i="121" s="1"/>
  <c r="F97" i="111"/>
  <c r="F101" i="111"/>
  <c r="G102" i="111"/>
  <c r="F102" i="111"/>
  <c r="D803" i="121"/>
  <c r="E103" i="111"/>
  <c r="G95" i="111"/>
  <c r="F795" i="121"/>
  <c r="G81" i="111"/>
  <c r="G84" i="111" s="1"/>
  <c r="G89" i="111" s="1"/>
  <c r="I78" i="111"/>
  <c r="H79" i="111"/>
  <c r="H85" i="111"/>
  <c r="H87" i="111"/>
  <c r="H80" i="111"/>
  <c r="E62" i="100"/>
  <c r="K37" i="100"/>
  <c r="C40" i="100"/>
  <c r="K35" i="100"/>
  <c r="K62" i="100"/>
  <c r="G96" i="111" l="1"/>
  <c r="G796" i="121" s="1"/>
  <c r="G97" i="111"/>
  <c r="G101" i="111"/>
  <c r="I88" i="111"/>
  <c r="I788" i="121" s="1"/>
  <c r="I86" i="111"/>
  <c r="E803" i="121"/>
  <c r="F103" i="111"/>
  <c r="H95" i="111"/>
  <c r="G795" i="121"/>
  <c r="J78" i="111"/>
  <c r="I79" i="111"/>
  <c r="I85" i="111"/>
  <c r="I87" i="111"/>
  <c r="I80" i="111"/>
  <c r="H81" i="111"/>
  <c r="H84" i="111" s="1"/>
  <c r="H89"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H96" i="111" l="1"/>
  <c r="H796" i="121" s="1"/>
  <c r="H97" i="111"/>
  <c r="H101" i="111"/>
  <c r="J86" i="111"/>
  <c r="J88" i="111"/>
  <c r="J788" i="121" s="1"/>
  <c r="H102" i="111"/>
  <c r="F803" i="121"/>
  <c r="G103" i="111"/>
  <c r="I95" i="111"/>
  <c r="H795" i="121"/>
  <c r="I81" i="111"/>
  <c r="I84" i="111" s="1"/>
  <c r="I89" i="111" s="1"/>
  <c r="K78" i="111"/>
  <c r="J87" i="111"/>
  <c r="J85" i="111"/>
  <c r="J79" i="111"/>
  <c r="J80" i="111"/>
  <c r="I102" i="111" l="1"/>
  <c r="K88" i="111"/>
  <c r="K788" i="121" s="1"/>
  <c r="K86" i="111"/>
  <c r="I96" i="111"/>
  <c r="I796" i="121" s="1"/>
  <c r="I101" i="111"/>
  <c r="I97" i="111"/>
  <c r="G803" i="121"/>
  <c r="H103" i="111"/>
  <c r="J95" i="111"/>
  <c r="I795" i="121"/>
  <c r="J81" i="111"/>
  <c r="J84" i="111" s="1"/>
  <c r="J89" i="111" s="1"/>
  <c r="B108" i="111"/>
  <c r="K85" i="111"/>
  <c r="K87" i="111"/>
  <c r="K79" i="111"/>
  <c r="K80" i="111"/>
  <c r="F18" i="85"/>
  <c r="B118" i="111" l="1"/>
  <c r="B818" i="121" s="1"/>
  <c r="B116" i="111"/>
  <c r="J96" i="111"/>
  <c r="J796" i="121" s="1"/>
  <c r="J101" i="111"/>
  <c r="J97" i="111"/>
  <c r="J102" i="111"/>
  <c r="H803" i="121"/>
  <c r="I103" i="111"/>
  <c r="K95" i="111"/>
  <c r="J795" i="121"/>
  <c r="C108" i="111"/>
  <c r="B109" i="111"/>
  <c r="B117" i="111"/>
  <c r="B115" i="111"/>
  <c r="B110" i="111"/>
  <c r="K81" i="111"/>
  <c r="K84" i="111" s="1"/>
  <c r="K89" i="111" s="1"/>
  <c r="E242" i="72"/>
  <c r="C118" i="111" l="1"/>
  <c r="C818" i="121" s="1"/>
  <c r="C116" i="111"/>
  <c r="K96" i="111"/>
  <c r="K796" i="121" s="1"/>
  <c r="K97" i="111"/>
  <c r="K101" i="111"/>
  <c r="K102" i="111"/>
  <c r="I803" i="121"/>
  <c r="J103" i="111"/>
  <c r="B125" i="111"/>
  <c r="K795" i="121"/>
  <c r="B111" i="111"/>
  <c r="B114" i="111" s="1"/>
  <c r="B119" i="111" s="1"/>
  <c r="D108" i="111"/>
  <c r="C109" i="111"/>
  <c r="C117" i="111"/>
  <c r="C115" i="111"/>
  <c r="C110" i="111"/>
  <c r="Q295" i="72"/>
  <c r="Q298" i="72"/>
  <c r="Q94" i="72"/>
  <c r="Q312" i="72"/>
  <c r="Q311" i="72"/>
  <c r="D118" i="111" l="1"/>
  <c r="D818" i="121" s="1"/>
  <c r="D116" i="111"/>
  <c r="B126" i="111"/>
  <c r="B131" i="111"/>
  <c r="B127" i="111"/>
  <c r="B132" i="111"/>
  <c r="J803" i="121"/>
  <c r="K103" i="111"/>
  <c r="C125" i="111"/>
  <c r="B825" i="121"/>
  <c r="E108" i="111"/>
  <c r="D115" i="111"/>
  <c r="D109" i="111"/>
  <c r="D117" i="111"/>
  <c r="D110" i="111"/>
  <c r="C111" i="111"/>
  <c r="C114" i="111" s="1"/>
  <c r="C119" i="111" s="1"/>
  <c r="I91" i="72"/>
  <c r="E118" i="111" l="1"/>
  <c r="E818" i="121" s="1"/>
  <c r="E116" i="111"/>
  <c r="C126" i="111"/>
  <c r="C127" i="111"/>
  <c r="C131" i="111"/>
  <c r="C132" i="111"/>
  <c r="K803" i="121"/>
  <c r="B133" i="111"/>
  <c r="D125" i="111"/>
  <c r="C825" i="121"/>
  <c r="D111" i="111"/>
  <c r="D114" i="111" s="1"/>
  <c r="D119" i="111" s="1"/>
  <c r="F108" i="111"/>
  <c r="E109" i="111"/>
  <c r="E115" i="111"/>
  <c r="E117" i="111"/>
  <c r="E110" i="111"/>
  <c r="L285" i="72"/>
  <c r="F118" i="111" l="1"/>
  <c r="F818" i="121" s="1"/>
  <c r="F116" i="111"/>
  <c r="D126" i="111"/>
  <c r="D127" i="111"/>
  <c r="D131" i="111"/>
  <c r="D132" i="111"/>
  <c r="B833" i="121"/>
  <c r="C133" i="111"/>
  <c r="E125" i="111"/>
  <c r="D825" i="121"/>
  <c r="F109" i="111"/>
  <c r="F117" i="111"/>
  <c r="F115" i="111"/>
  <c r="F110" i="111"/>
  <c r="E111" i="111"/>
  <c r="E114" i="111" s="1"/>
  <c r="E119" i="111" s="1"/>
  <c r="Q339" i="73"/>
  <c r="H152" i="72"/>
  <c r="E132" i="111" l="1"/>
  <c r="E126" i="111"/>
  <c r="E131" i="111"/>
  <c r="E127" i="111"/>
  <c r="C833" i="121"/>
  <c r="D133" i="111"/>
  <c r="F125" i="111"/>
  <c r="F825" i="121" s="1"/>
  <c r="E825" i="121"/>
  <c r="F111" i="111"/>
  <c r="F114" i="111" s="1"/>
  <c r="F119" i="111" s="1"/>
  <c r="L184" i="72"/>
  <c r="F126" i="111" l="1"/>
  <c r="F127" i="111"/>
  <c r="F131" i="111"/>
  <c r="F132" i="111"/>
  <c r="D833" i="121"/>
  <c r="E133" i="111"/>
  <c r="L242" i="72"/>
  <c r="P225" i="72"/>
  <c r="R225" i="72"/>
  <c r="Q18" i="72"/>
  <c r="E833" i="121" l="1"/>
  <c r="F133" i="111"/>
  <c r="F833" i="121" s="1"/>
  <c r="F31" i="72"/>
  <c r="F30" i="72"/>
  <c r="E30" i="72"/>
  <c r="F29" i="72"/>
  <c r="E29" i="72"/>
  <c r="F28" i="72"/>
  <c r="F27" i="72"/>
  <c r="F26" i="72"/>
  <c r="N210" i="73"/>
  <c r="J274" i="72"/>
  <c r="K226" i="72"/>
  <c r="J113" i="72"/>
  <c r="O138" i="72" s="1"/>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16" i="85" l="1"/>
  <c r="F53" i="89"/>
  <c r="D35" i="90" s="1"/>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G35" i="72" l="1"/>
  <c r="AI35" i="72"/>
  <c r="AD35" i="72"/>
  <c r="AH35" i="72"/>
  <c r="AF35" i="72"/>
  <c r="AE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A68" i="85"/>
  <c r="A22" i="83" l="1"/>
  <c r="E55" i="100"/>
  <c r="I55" i="100"/>
  <c r="G55" i="100"/>
  <c r="K55" i="100"/>
  <c r="O261" i="72"/>
  <c r="AC48" i="72" s="1"/>
  <c r="AC63" i="72" s="1"/>
  <c r="P56" i="98"/>
  <c r="P53" i="98"/>
  <c r="F58" i="98"/>
  <c r="F60" i="98"/>
  <c r="F56" i="98"/>
  <c r="K57" i="98"/>
  <c r="F59" i="98"/>
  <c r="K60" i="98"/>
  <c r="K59" i="98"/>
  <c r="K58" i="98"/>
  <c r="K56" i="98"/>
  <c r="F57" i="98"/>
  <c r="P64" i="72"/>
  <c r="C141" i="90"/>
  <c r="Q66" i="98"/>
  <c r="P67" i="85"/>
  <c r="H56" i="73"/>
  <c r="K129" i="72"/>
  <c r="I129" i="72"/>
  <c r="Q268" i="72"/>
  <c r="P261" i="72"/>
  <c r="F52" i="98"/>
  <c r="F53" i="98"/>
  <c r="K52" i="98"/>
  <c r="K50" i="98"/>
  <c r="C22" i="86"/>
  <c r="C42" i="86" s="1"/>
  <c r="D42" i="86" s="1"/>
  <c r="E42" i="86" s="1"/>
  <c r="B20" i="82"/>
  <c r="B21" i="82" s="1"/>
  <c r="AI48" i="72" l="1"/>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67" i="85"/>
  <c r="AF63" i="72" l="1"/>
  <c r="AH63" i="72"/>
  <c r="AG63" i="72"/>
  <c r="A21" i="83"/>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C19" i="100"/>
  <c r="C56" i="100"/>
  <c r="C64" i="100" s="1"/>
  <c r="C70" i="100" s="1"/>
  <c r="I53" i="100"/>
  <c r="I54" i="100" s="1"/>
  <c r="E53" i="100"/>
  <c r="E54" i="100" s="1"/>
  <c r="G53" i="100"/>
  <c r="G54" i="100" s="1"/>
  <c r="K53" i="100"/>
  <c r="K54" i="100" s="1"/>
  <c r="M366" i="72"/>
  <c r="M367" i="72" s="1"/>
  <c r="P97" i="72"/>
  <c r="A9" i="83"/>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authors>
    <author>Stephen Barrett</author>
  </authors>
  <commentList>
    <comment ref="L77"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<sst xmlns="http://schemas.openxmlformats.org/spreadsheetml/2006/main" count="14317" uniqueCount="5224">
  <si>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</si>
  <si>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</si>
  <si>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</si>
  <si>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</si>
  <si>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</si>
  <si>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</si>
  <si>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</si>
  <si>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</si>
  <si>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</si>
  <si>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</si>
  <si>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</si>
  <si>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</si>
  <si>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</si>
  <si>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</si>
  <si>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</si>
  <si>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</si>
  <si>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</si>
  <si>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</si>
  <si>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</si>
  <si>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</si>
  <si>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</si>
  <si>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</si>
  <si>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</si>
  <si>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</si>
  <si>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</si>
  <si>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</si>
  <si>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</si>
  <si>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</si>
  <si>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</si>
  <si>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</si>
  <si>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</si>
  <si>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</si>
  <si>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</si>
  <si>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</si>
  <si>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</si>
  <si>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</si>
  <si>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</si>
  <si>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</si>
  <si>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</si>
  <si>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</si>
  <si>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</si>
  <si>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</si>
  <si>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</si>
  <si>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</si>
  <si>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</si>
  <si>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</si>
  <si>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</si>
  <si>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</si>
  <si>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</si>
  <si>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</si>
  <si>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</si>
  <si>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</si>
  <si>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</si>
  <si>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</si>
  <si>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</si>
  <si>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</si>
  <si>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</si>
  <si>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</si>
  <si>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</si>
  <si>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</si>
  <si>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</si>
  <si>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</si>
  <si>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</si>
  <si>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</si>
  <si>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</si>
  <si>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</si>
  <si>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</si>
  <si>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</si>
  <si>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</si>
  <si>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</si>
  <si>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</si>
  <si>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</si>
  <si>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</si>
  <si>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</si>
  <si>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</si>
  <si>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</si>
  <si>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</si>
  <si>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</si>
  <si>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</si>
  <si>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</si>
  <si>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</si>
  <si>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</si>
  <si>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</si>
  <si>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</si>
  <si>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</si>
  <si>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</si>
  <si>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</si>
  <si>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</si>
  <si>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</si>
  <si>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</si>
  <si>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</si>
  <si>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</si>
  <si>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</si>
  <si>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</si>
  <si>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</si>
  <si>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</si>
  <si>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</si>
  <si>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</si>
  <si>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</si>
  <si>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</si>
  <si>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</si>
  <si>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</si>
  <si>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</si>
  <si>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</si>
  <si>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</si>
  <si>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</si>
  <si>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</si>
  <si>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</si>
  <si>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</si>
  <si>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</si>
  <si>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</si>
  <si>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</si>
  <si>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</si>
  <si>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</si>
  <si>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</si>
  <si>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</si>
  <si>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</si>
  <si>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</si>
  <si>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</si>
  <si>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</si>
  <si>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</si>
  <si>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</si>
  <si>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</si>
  <si>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</si>
  <si>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</si>
  <si>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</si>
  <si>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</si>
  <si>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</si>
  <si>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</si>
  <si>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</si>
  <si>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</si>
  <si>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</si>
  <si>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</si>
  <si>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</si>
  <si>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</si>
  <si>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</si>
  <si>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</si>
  <si>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</si>
  <si>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</si>
  <si>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</si>
  <si>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</si>
  <si>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</si>
  <si>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</si>
  <si>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</si>
  <si>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</si>
  <si>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</si>
  <si>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</si>
  <si>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</si>
  <si>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</si>
  <si>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</si>
  <si>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</si>
  <si>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</si>
  <si>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</si>
  <si>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</si>
  <si>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</si>
  <si>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</si>
  <si>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</si>
  <si>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</si>
  <si>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</si>
  <si>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</si>
  <si>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</si>
  <si>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</si>
  <si>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</si>
  <si>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</si>
  <si>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</si>
  <si>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</si>
  <si>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</si>
  <si>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</si>
  <si>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</si>
  <si>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</si>
  <si>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</si>
  <si>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</si>
  <si>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</si>
  <si>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</si>
  <si>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</si>
  <si>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</si>
  <si>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</si>
  <si>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</si>
  <si>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</si>
  <si>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</si>
  <si>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</si>
  <si>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</si>
  <si>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</si>
  <si>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</si>
  <si>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</si>
  <si>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</si>
  <si>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</si>
  <si>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</si>
  <si>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</si>
  <si>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</si>
  <si>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</si>
  <si>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</si>
  <si>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</si>
  <si>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</si>
  <si>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</si>
  <si>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</si>
  <si>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</si>
  <si>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</si>
  <si>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</si>
  <si>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</si>
  <si>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</si>
  <si>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</si>
  <si>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</si>
  <si>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</si>
  <si>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</si>
  <si>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</si>
  <si>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</si>
  <si>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</si>
  <si>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</si>
  <si>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</si>
  <si>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</si>
  <si>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</si>
  <si>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</si>
  <si>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</si>
  <si>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</si>
  <si>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</si>
  <si>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</si>
  <si>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</si>
  <si>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</si>
  <si>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</si>
  <si>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</si>
  <si>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</si>
  <si>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</si>
  <si>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</si>
  <si>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</si>
  <si>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</si>
  <si>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</si>
  <si>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</si>
  <si>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</si>
  <si>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</si>
  <si>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</si>
  <si>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</si>
  <si>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</si>
  <si>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</si>
  <si>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</si>
  <si>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</si>
  <si>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</si>
  <si>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</si>
  <si>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</si>
  <si>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</si>
  <si>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</si>
  <si>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</si>
  <si>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</si>
  <si>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</si>
  <si>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</si>
  <si>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</si>
  <si>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</si>
  <si>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</si>
  <si>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</si>
  <si>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</si>
  <si>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</si>
  <si>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</si>
  <si>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</si>
  <si>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</si>
  <si>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</si>
  <si>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</si>
  <si>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</si>
  <si>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</si>
  <si>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</si>
  <si>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</si>
  <si>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</si>
  <si>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</si>
  <si>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</si>
  <si>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</si>
  <si>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</si>
  <si>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</si>
  <si>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</si>
  <si>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</si>
  <si>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</si>
  <si>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</si>
  <si>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</si>
  <si>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</si>
  <si>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</si>
  <si>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</si>
  <si>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</si>
  <si>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</si>
  <si>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</si>
  <si>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</si>
  <si>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</si>
  <si>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</si>
  <si>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</si>
  <si>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</si>
  <si>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</si>
  <si>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</si>
  <si>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</si>
  <si>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</si>
  <si>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</si>
  <si>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</si>
  <si>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</si>
  <si>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</si>
  <si>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</si>
  <si>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</si>
  <si>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</si>
  <si>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</si>
  <si>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</si>
  <si>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</si>
  <si>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</si>
  <si>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</si>
  <si>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</si>
  <si>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</si>
  <si>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</si>
  <si>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</si>
  <si>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</si>
  <si>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</si>
  <si>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</si>
  <si>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</si>
  <si>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</si>
  <si>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</si>
  <si>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</si>
  <si>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</si>
  <si>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</si>
  <si>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</si>
  <si>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</si>
  <si>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</si>
  <si>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</si>
  <si>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</si>
  <si>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</si>
  <si>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</si>
  <si>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</si>
  <si>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</si>
  <si>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</si>
  <si>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</si>
  <si>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</si>
  <si>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</si>
  <si>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</si>
  <si>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</si>
  <si>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</si>
  <si>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</si>
  <si>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</si>
  <si>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</si>
  <si>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</si>
  <si>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</si>
  <si>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</si>
  <si>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</si>
  <si>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</si>
  <si>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</si>
  <si>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</si>
  <si>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</si>
  <si>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</si>
  <si>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</si>
  <si>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</si>
  <si>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</si>
  <si>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</si>
  <si>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</si>
  <si>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</si>
  <si>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</si>
  <si>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</si>
  <si>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</si>
  <si>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</si>
  <si>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</si>
  <si>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</si>
  <si>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</si>
  <si>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</si>
  <si>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</si>
  <si>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</si>
  <si>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</si>
  <si>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</si>
  <si>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</si>
  <si>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</si>
  <si>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</si>
  <si>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</si>
  <si>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</si>
  <si>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</si>
  <si>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</si>
  <si>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</si>
  <si>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</si>
  <si>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</si>
  <si>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</si>
  <si>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</si>
  <si>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</si>
  <si>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</si>
  <si>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</si>
  <si>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</si>
  <si>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</si>
  <si>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</si>
  <si>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</si>
  <si>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</si>
  <si>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</si>
  <si>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</si>
  <si>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</si>
  <si>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</si>
  <si>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</si>
  <si>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</si>
  <si>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</si>
  <si>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</si>
  <si>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</si>
  <si>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</si>
  <si>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</si>
  <si>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</si>
  <si>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</si>
  <si>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</si>
  <si>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</si>
  <si>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</si>
  <si>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</si>
  <si>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</si>
  <si>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</si>
  <si>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</si>
  <si>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</si>
  <si>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</si>
  <si>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</si>
  <si>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</si>
  <si>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</si>
  <si>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</si>
  <si>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</si>
  <si>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</si>
  <si>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</si>
  <si>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</si>
  <si>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</si>
  <si>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</si>
  <si>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</si>
  <si>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</si>
  <si>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</si>
  <si>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</si>
  <si>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</si>
  <si>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</si>
  <si>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</si>
  <si>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</si>
  <si>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</si>
  <si>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</si>
  <si>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</si>
  <si>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</si>
  <si>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</si>
  <si>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</si>
  <si>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</si>
  <si>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</si>
  <si>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</si>
  <si>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</si>
  <si>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</si>
  <si>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</si>
  <si>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</si>
  <si>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</si>
  <si>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</si>
  <si>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</si>
  <si>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</si>
  <si>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</si>
  <si>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</si>
  <si>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</si>
  <si>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</si>
  <si>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</si>
  <si>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</si>
  <si>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</si>
  <si>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</si>
  <si>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</si>
  <si>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</si>
  <si>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</si>
  <si>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</si>
  <si>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</si>
  <si>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</si>
  <si>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</si>
  <si>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</si>
  <si>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</si>
  <si>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</si>
  <si>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</si>
  <si>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</si>
  <si>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</si>
  <si>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</si>
  <si>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</si>
  <si>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</si>
  <si>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</si>
  <si>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</si>
  <si>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</si>
  <si>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</si>
  <si>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</si>
  <si>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</si>
  <si>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</si>
  <si>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</si>
  <si>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</si>
  <si>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</si>
  <si>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</si>
  <si>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</si>
  <si>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</si>
  <si>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</si>
  <si>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</si>
  <si>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</si>
  <si>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</si>
  <si>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</si>
  <si>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</si>
  <si>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</si>
  <si>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</si>
  <si>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</si>
  <si>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</si>
  <si>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</si>
  <si>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</si>
  <si>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</si>
  <si>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</si>
  <si>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</si>
  <si>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</si>
  <si>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</si>
  <si>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</si>
  <si>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</si>
  <si>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</si>
  <si>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</si>
  <si>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</si>
  <si>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</si>
  <si>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</si>
  <si>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</si>
  <si>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</si>
  <si>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</si>
  <si>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</si>
  <si>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</si>
  <si>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</si>
  <si>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</si>
  <si>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</si>
  <si>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</si>
  <si>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</si>
  <si>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</si>
  <si>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</si>
  <si>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</si>
  <si>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</si>
  <si>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</si>
  <si>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</si>
  <si>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</si>
  <si>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</si>
  <si>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</si>
  <si>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</si>
  <si>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</si>
  <si>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</si>
  <si>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</si>
  <si>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</si>
  <si>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</si>
  <si>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</si>
  <si>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</si>
  <si>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</si>
  <si>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</si>
  <si>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</si>
  <si>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</si>
  <si>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</si>
  <si>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</si>
  <si>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</si>
  <si>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</si>
  <si>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</si>
  <si>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</si>
  <si>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</si>
  <si>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</si>
  <si>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</si>
  <si>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</si>
  <si>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</si>
  <si>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</si>
  <si>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</si>
  <si>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</si>
  <si>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</si>
  <si>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</si>
  <si>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</si>
  <si>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</si>
  <si>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</si>
  <si>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</si>
  <si>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</si>
  <si>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</si>
  <si>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</si>
  <si>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</si>
  <si>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</si>
  <si>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</si>
  <si>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</si>
  <si>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</si>
  <si>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</si>
  <si>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</si>
  <si>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</si>
  <si>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</si>
  <si>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</si>
  <si>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</si>
  <si>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</si>
  <si>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</si>
  <si>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</si>
  <si>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</si>
  <si>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</si>
  <si>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</si>
  <si>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</si>
  <si>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</si>
  <si>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</si>
  <si>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</si>
  <si>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</si>
  <si>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</si>
  <si>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</si>
  <si>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</si>
  <si>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</si>
  <si>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</si>
  <si>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</si>
  <si>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</si>
  <si>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</si>
  <si>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</si>
  <si>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</si>
  <si>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</si>
  <si>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</si>
  <si>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</si>
  <si>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</si>
  <si>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</si>
  <si>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</si>
  <si>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</si>
  <si>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</si>
  <si>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</si>
  <si>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</si>
  <si>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</si>
  <si>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</si>
  <si>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</si>
  <si>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</si>
  <si>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</si>
  <si>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</si>
  <si>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</si>
  <si>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</si>
  <si>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</si>
  <si>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</si>
  <si>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</si>
  <si>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</si>
  <si>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</si>
  <si>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</si>
  <si>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</si>
  <si>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</si>
  <si>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</si>
  <si>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</si>
  <si>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</si>
  <si>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</si>
  <si>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</si>
  <si>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</si>
  <si>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</si>
  <si>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</si>
  <si>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</si>
  <si>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</si>
  <si>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</si>
  <si>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</si>
  <si>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</si>
  <si>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</si>
  <si>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</si>
  <si>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</si>
  <si>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</si>
  <si>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</si>
  <si>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</si>
  <si>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</si>
  <si>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</si>
  <si>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</si>
  <si>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</si>
  <si>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</si>
  <si>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</si>
  <si>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</si>
  <si>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</si>
  <si>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</si>
  <si>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</si>
  <si>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</si>
  <si>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</si>
  <si>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</si>
  <si>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</si>
  <si>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</si>
  <si>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</si>
  <si>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</si>
  <si>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</si>
  <si>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</si>
  <si>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</si>
  <si>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</si>
  <si>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</si>
  <si>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</si>
  <si>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</si>
  <si>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</si>
  <si>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</si>
  <si>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</si>
  <si>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</si>
  <si>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</si>
  <si>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</si>
  <si>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</si>
  <si>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</si>
  <si>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</si>
  <si>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</si>
  <si>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</si>
  <si>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</si>
  <si>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</si>
  <si>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</si>
  <si>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</si>
  <si>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</si>
  <si>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</si>
  <si>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</si>
  <si>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</si>
  <si>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</si>
  <si>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</si>
  <si>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</si>
  <si>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</si>
  <si>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</si>
  <si>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</si>
  <si>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</si>
  <si>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</si>
  <si>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</si>
  <si>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</si>
  <si>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</si>
  <si>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</si>
  <si>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</si>
  <si>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</si>
  <si>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</si>
  <si>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</si>
  <si>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</si>
  <si>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</si>
  <si>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</si>
  <si>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</si>
  <si>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</si>
  <si>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</si>
  <si>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</si>
  <si>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</si>
  <si>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</si>
  <si>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</si>
  <si>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</si>
  <si>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</si>
  <si>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</si>
  <si>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</si>
  <si>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</si>
  <si>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</si>
  <si>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</si>
  <si>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</si>
  <si>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</si>
  <si>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</si>
  <si>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</si>
  <si>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</si>
  <si>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</si>
  <si>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</si>
  <si>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</si>
  <si>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</si>
  <si>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</si>
  <si>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</si>
  <si>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</si>
  <si>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</si>
  <si>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</si>
  <si>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</si>
  <si>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</si>
  <si>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</si>
  <si>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</si>
  <si>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</si>
  <si>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</si>
  <si>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</si>
  <si>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</si>
  <si>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</si>
  <si>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</si>
  <si>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</si>
  <si>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</si>
  <si>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</si>
  <si>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</si>
  <si>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</si>
  <si>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</si>
  <si>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</si>
  <si>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</si>
  <si>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</si>
  <si>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</si>
  <si>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</si>
  <si>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</si>
  <si>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</si>
  <si>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</si>
  <si>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</si>
  <si>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</si>
  <si>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</si>
  <si>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</si>
  <si>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</si>
  <si>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</si>
  <si>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</si>
  <si>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</si>
  <si>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</si>
  <si>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</si>
  <si>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</si>
  <si>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</si>
  <si>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</si>
  <si>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</si>
  <si>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</si>
  <si>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</si>
  <si>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</si>
  <si>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</si>
  <si>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</si>
  <si>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</si>
  <si>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</si>
  <si>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</si>
  <si>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</si>
  <si>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</si>
  <si>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</si>
  <si>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</si>
  <si>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</si>
  <si>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</si>
  <si>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</si>
  <si>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</si>
  <si>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</si>
  <si>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</si>
  <si>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</si>
  <si>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</si>
  <si>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</si>
  <si>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</si>
  <si>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</si>
  <si>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</si>
  <si>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</si>
  <si>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</si>
  <si>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</si>
  <si>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</si>
  <si>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</si>
  <si>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</si>
  <si>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</si>
  <si>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</si>
  <si>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</si>
  <si>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</si>
  <si>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</si>
  <si>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</si>
  <si>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</si>
  <si>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</si>
  <si>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</si>
  <si>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</si>
  <si>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</si>
  <si>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</si>
  <si>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</si>
  <si>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</si>
  <si>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</si>
  <si>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</si>
  <si>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</si>
  <si>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</si>
  <si>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</si>
  <si>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</si>
  <si>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</si>
  <si>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</si>
  <si>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</si>
  <si>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</si>
  <si>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</si>
  <si>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</si>
  <si>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</si>
  <si>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</si>
  <si>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</si>
  <si>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</si>
  <si>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</si>
  <si>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</si>
  <si>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</si>
  <si>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</si>
  <si>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</si>
  <si>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</si>
  <si>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</si>
  <si>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</si>
  <si>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</si>
  <si>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</si>
  <si>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</si>
  <si>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</si>
  <si>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</si>
  <si>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</si>
  <si>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</si>
  <si>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</si>
  <si>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</si>
  <si>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</si>
  <si>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</si>
  <si>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</si>
  <si>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</si>
  <si>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</si>
  <si>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</si>
  <si>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</si>
  <si>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</si>
  <si>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</si>
  <si>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</si>
  <si>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</si>
  <si>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</si>
  <si>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</si>
  <si>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</si>
  <si>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</si>
  <si>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</si>
  <si>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</si>
  <si>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</si>
  <si>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</si>
  <si>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</si>
  <si>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</si>
  <si>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</si>
  <si>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</si>
  <si>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</si>
  <si>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</si>
  <si>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</si>
  <si>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</si>
  <si>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</si>
  <si>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</si>
  <si>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</si>
  <si>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</si>
  <si>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</si>
  <si>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</si>
  <si>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</si>
  <si>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</si>
  <si>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</si>
  <si>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</si>
  <si>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</si>
  <si>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</si>
  <si>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</si>
  <si>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</si>
  <si>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</si>
  <si>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</si>
  <si>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</si>
  <si>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</si>
  <si>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</si>
  <si>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</si>
  <si>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</si>
  <si>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</si>
  <si>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</si>
  <si>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</si>
  <si>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</si>
  <si>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</si>
  <si>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</si>
  <si>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</si>
  <si>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</si>
  <si>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</si>
  <si>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</si>
  <si>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</si>
  <si>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</si>
  <si>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</si>
  <si>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</si>
  <si>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</si>
  <si>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</si>
  <si>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</si>
  <si>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</si>
  <si>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</si>
  <si>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</si>
  <si>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</si>
  <si>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</si>
  <si>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</si>
  <si>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</si>
  <si>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</si>
  <si>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</si>
  <si>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</si>
  <si>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</si>
  <si>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</si>
  <si>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</si>
  <si>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</si>
  <si>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</si>
  <si>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</si>
  <si>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</si>
  <si>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</si>
  <si>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</si>
  <si>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</si>
  <si>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</si>
  <si>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</si>
  <si>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</si>
  <si>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</si>
  <si>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</si>
  <si>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</si>
  <si>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</si>
  <si>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</si>
  <si>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</si>
  <si>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</si>
  <si>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</si>
  <si>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</si>
  <si>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</si>
  <si>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</si>
  <si>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</si>
  <si>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</si>
  <si>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</si>
  <si>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</si>
  <si>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</si>
  <si>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</si>
  <si>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</si>
  <si>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</si>
  <si>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</si>
  <si>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</si>
  <si>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</si>
  <si>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</si>
  <si>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</si>
  <si>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</si>
  <si>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</si>
  <si>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</si>
  <si>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</si>
  <si>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</si>
  <si>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</si>
  <si>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</si>
  <si>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</si>
  <si>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</si>
  <si>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</si>
  <si>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</si>
  <si>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</si>
  <si>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</si>
  <si>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</si>
  <si>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</si>
  <si>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</si>
  <si>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</si>
  <si>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</si>
  <si>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</si>
  <si>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</si>
  <si>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</si>
  <si>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</si>
  <si>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</si>
  <si>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</si>
  <si>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</si>
  <si>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</si>
  <si>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</si>
  <si>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</si>
  <si>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</si>
  <si>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</si>
  <si>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</si>
  <si>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</si>
  <si>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</si>
  <si>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</si>
  <si>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</si>
  <si>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</si>
  <si>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</si>
  <si>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</si>
  <si>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</si>
  <si>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</si>
  <si>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</si>
  <si>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</si>
  <si>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</si>
  <si>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</si>
  <si>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</si>
  <si>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</si>
  <si>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</si>
  <si>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</si>
  <si>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</si>
  <si>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</si>
  <si>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</si>
  <si>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</si>
  <si>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</si>
  <si>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</si>
  <si>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</si>
  <si>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</si>
  <si>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</si>
  <si>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</si>
  <si>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</si>
  <si>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</si>
  <si>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</si>
  <si>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</si>
  <si>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</si>
  <si>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</si>
  <si>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</si>
  <si>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</si>
  <si>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</si>
  <si>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</si>
  <si>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</si>
  <si>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</si>
  <si>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</si>
  <si>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</si>
  <si>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</si>
  <si>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</si>
  <si>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</si>
  <si>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</si>
  <si>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</si>
  <si>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</si>
  <si>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</si>
  <si>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</si>
  <si>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</si>
  <si>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</si>
  <si>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</si>
  <si>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</si>
  <si>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</si>
  <si>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</si>
  <si>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</si>
  <si>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</si>
  <si>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</si>
  <si>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</si>
  <si>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</si>
  <si>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</si>
  <si>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</si>
  <si>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</si>
  <si>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</si>
  <si>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</si>
  <si>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</si>
  <si>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</si>
  <si>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</si>
  <si>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</si>
  <si>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</si>
  <si>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</si>
  <si>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</si>
  <si>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</si>
  <si>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</si>
  <si>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</si>
  <si>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</si>
  <si>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</si>
  <si>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</si>
  <si>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</si>
  <si>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</si>
  <si>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</si>
  <si>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</si>
  <si>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</si>
  <si>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</si>
  <si>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</si>
  <si>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</si>
  <si>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</si>
  <si>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</si>
  <si>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</si>
  <si>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</si>
  <si>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</si>
  <si>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</si>
  <si>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</si>
  <si>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</si>
  <si>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</si>
  <si>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</si>
  <si>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</si>
  <si>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</si>
  <si>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</si>
  <si>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</si>
  <si>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</si>
  <si>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</si>
  <si>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</si>
  <si>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</si>
  <si>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</si>
  <si>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</si>
  <si>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</si>
  <si>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</si>
  <si>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</si>
  <si>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</si>
  <si>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</si>
  <si>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</si>
  <si>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</si>
  <si>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</si>
  <si>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</si>
  <si>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</si>
  <si>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</si>
  <si>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</si>
  <si>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</si>
  <si>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</si>
  <si>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</si>
  <si>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</si>
  <si>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</si>
  <si>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</si>
  <si>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</si>
  <si>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</si>
  <si>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</si>
  <si>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</si>
  <si>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</si>
  <si>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</si>
  <si>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</si>
  <si>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</si>
  <si>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</si>
  <si>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</si>
  <si>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</si>
  <si>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</si>
  <si>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</si>
  <si>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</si>
  <si>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</si>
  <si>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</si>
  <si>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</si>
  <si>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</si>
  <si>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</si>
  <si>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</si>
  <si>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</si>
  <si>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</si>
  <si>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</si>
  <si>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</si>
  <si>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</si>
  <si>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</si>
  <si>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</si>
  <si>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</si>
  <si>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</si>
  <si>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</si>
  <si>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</si>
  <si>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</si>
  <si>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</si>
  <si>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</si>
  <si>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</si>
  <si>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</si>
  <si>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</si>
  <si>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</si>
  <si>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</si>
  <si>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</si>
  <si>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</si>
  <si>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</si>
  <si>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</si>
  <si>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</si>
  <si>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</si>
  <si>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</si>
  <si>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</si>
  <si>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</si>
  <si>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</si>
  <si>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</si>
  <si>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</si>
  <si>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</si>
  <si>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</si>
  <si>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</si>
  <si>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</si>
  <si>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</si>
  <si>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</si>
  <si>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</si>
  <si>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</si>
  <si>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</si>
  <si>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</si>
  <si>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</si>
  <si>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</si>
  <si>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</si>
  <si>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</si>
  <si>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</si>
  <si>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</si>
  <si>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</si>
  <si>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</si>
  <si>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</si>
  <si>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</si>
  <si>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</si>
  <si>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</si>
  <si>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</si>
  <si>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</si>
  <si>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</si>
  <si>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</si>
  <si>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</si>
  <si>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</si>
  <si>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</si>
  <si>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</si>
  <si>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</si>
  <si>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</si>
  <si>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</si>
  <si>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</si>
  <si>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</si>
  <si>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</si>
  <si>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</si>
  <si>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</si>
  <si>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</si>
  <si>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</si>
  <si>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</si>
  <si>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</si>
  <si>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</si>
  <si>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</si>
  <si>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</si>
  <si>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</si>
  <si>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</si>
  <si>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</si>
  <si>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</si>
  <si>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</si>
  <si>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</si>
  <si>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</si>
  <si>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</si>
  <si>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</si>
  <si>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</si>
  <si>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</si>
  <si>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</si>
  <si>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</si>
  <si>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</si>
  <si>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</si>
  <si>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</si>
  <si>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</si>
  <si>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</si>
  <si>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</si>
  <si>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</si>
  <si>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</si>
  <si>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</si>
  <si>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</si>
  <si>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</si>
  <si>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</si>
  <si>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</si>
  <si>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</si>
  <si>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</si>
  <si>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</si>
  <si>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</si>
  <si>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</si>
  <si>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</si>
  <si>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</si>
  <si>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</si>
  <si>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</si>
  <si>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</si>
  <si>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</si>
  <si>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</si>
  <si>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</si>
  <si>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</si>
  <si>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</si>
  <si>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</si>
  <si>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</si>
  <si>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</si>
  <si>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</si>
  <si>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</si>
  <si>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</si>
  <si>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</si>
  <si>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</si>
  <si>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</si>
  <si>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</si>
  <si>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</si>
  <si>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</si>
  <si>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</si>
  <si>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</si>
  <si>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</si>
  <si>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</si>
  <si>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</si>
  <si>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</si>
  <si>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</si>
  <si>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</si>
  <si>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</si>
  <si>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</si>
  <si>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</si>
  <si>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</si>
  <si>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</si>
  <si>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</si>
  <si>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</si>
  <si>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</si>
  <si>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</si>
  <si>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</si>
  <si>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</si>
  <si>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</si>
  <si>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</si>
  <si>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</si>
  <si>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</si>
  <si>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</si>
  <si>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</si>
  <si>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</si>
  <si>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</si>
  <si>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</si>
  <si>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</si>
  <si>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</si>
  <si>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</si>
  <si>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</si>
  <si>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</si>
  <si>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</si>
  <si>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</si>
  <si>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</si>
  <si>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</si>
  <si>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</si>
  <si>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</si>
  <si>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</si>
  <si>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</si>
  <si>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</si>
  <si>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</si>
  <si>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</si>
  <si>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</si>
  <si>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</si>
  <si>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</si>
  <si>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</si>
  <si>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</si>
  <si>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</si>
  <si>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</si>
  <si>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</si>
  <si>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</si>
  <si>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</si>
  <si>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</si>
  <si>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</si>
  <si>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</si>
  <si>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</si>
  <si>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</si>
  <si>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</si>
  <si>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</si>
  <si>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</si>
  <si>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</si>
  <si>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</si>
  <si>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</si>
  <si>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</si>
  <si>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</si>
  <si>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</si>
  <si>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</si>
  <si>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</si>
  <si>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</si>
  <si>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</si>
  <si>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</si>
  <si>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</si>
  <si>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</si>
  <si>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</si>
  <si>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</si>
  <si>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</si>
  <si>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</si>
  <si>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</si>
  <si>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</si>
  <si>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</si>
  <si>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</si>
  <si>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</si>
  <si>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</si>
  <si>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</si>
  <si>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</si>
  <si>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</si>
  <si>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</si>
  <si>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</si>
  <si>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</si>
  <si>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</si>
  <si>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</si>
  <si>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</si>
  <si>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</si>
  <si>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</si>
  <si>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</si>
  <si>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</si>
  <si>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</si>
  <si>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</si>
  <si>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</si>
  <si>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</si>
  <si>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</si>
  <si>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</si>
  <si>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</si>
  <si>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</si>
  <si>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</si>
  <si>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</si>
  <si>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</si>
  <si>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</si>
  <si>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</si>
  <si>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</si>
  <si>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</si>
  <si>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</si>
  <si>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</si>
  <si>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</si>
  <si>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</si>
  <si>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</si>
  <si>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</si>
  <si>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</si>
  <si>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</si>
  <si>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</si>
  <si>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</si>
  <si>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</si>
  <si>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</si>
  <si>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</si>
  <si>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</si>
  <si>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</si>
  <si>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</si>
  <si>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</si>
  <si>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</si>
  <si>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</si>
  <si>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</si>
  <si>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</si>
  <si>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</si>
  <si>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</si>
  <si>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</si>
  <si>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</si>
  <si>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</si>
  <si>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</si>
  <si>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</si>
  <si>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</si>
  <si>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</si>
  <si>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</si>
  <si>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</si>
  <si>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</si>
  <si>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</si>
  <si>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</si>
  <si>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</si>
  <si>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</si>
  <si>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</si>
  <si>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</si>
  <si>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</si>
  <si>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</si>
  <si>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</si>
  <si>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</si>
  <si>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</si>
  <si>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</si>
  <si>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</si>
  <si>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</si>
  <si>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</si>
  <si>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</si>
  <si>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</si>
  <si>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</si>
  <si>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</si>
  <si>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</si>
  <si>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</si>
  <si>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</si>
  <si>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</si>
  <si>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</si>
  <si>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</si>
  <si>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</si>
  <si>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</si>
  <si>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</si>
  <si>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</si>
  <si>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</si>
  <si>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</si>
  <si>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</si>
  <si>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</si>
  <si>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</si>
  <si>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</si>
  <si>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</si>
  <si>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</si>
  <si>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</si>
  <si>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</si>
  <si>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</si>
  <si>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</si>
  <si>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</si>
  <si>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</si>
  <si>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</si>
  <si>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</si>
  <si>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</si>
  <si>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</si>
  <si>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</si>
  <si>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</si>
  <si>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</si>
  <si>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</si>
  <si>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</si>
  <si>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</si>
  <si>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</si>
  <si>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</si>
  <si>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</si>
  <si>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</si>
  <si>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</si>
  <si>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</si>
  <si>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</si>
  <si>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</si>
  <si>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</si>
  <si>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</si>
  <si>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</si>
  <si>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</si>
  <si>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</si>
  <si>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</si>
  <si>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</si>
  <si>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</si>
  <si>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</si>
  <si>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</si>
  <si>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</si>
  <si>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</si>
  <si>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</si>
  <si>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</si>
  <si>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</si>
  <si>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</si>
  <si>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</si>
  <si>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</si>
  <si>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</si>
  <si>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</si>
  <si>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</si>
  <si>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</si>
  <si>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</si>
  <si>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</si>
  <si>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</si>
  <si>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</si>
  <si>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</si>
  <si>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</si>
  <si>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</si>
  <si>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</si>
  <si>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</si>
  <si>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</si>
  <si>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</si>
  <si>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</si>
  <si>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</si>
  <si>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</si>
  <si>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</si>
  <si>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</si>
  <si>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</si>
  <si>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</si>
  <si>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</si>
  <si>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</si>
  <si>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</si>
  <si>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</si>
  <si>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</si>
  <si>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</si>
  <si>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</si>
  <si>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</si>
  <si>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</si>
  <si>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</si>
  <si>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</si>
  <si>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</si>
  <si>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</si>
  <si>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</si>
  <si>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</si>
  <si>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</si>
  <si>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</si>
  <si>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</si>
  <si>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</si>
  <si>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</si>
  <si>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</si>
  <si>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</si>
  <si>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</si>
  <si>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</si>
  <si>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</si>
  <si>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</si>
  <si>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</si>
  <si>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</si>
  <si>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</si>
  <si>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</si>
  <si>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</si>
  <si>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</si>
  <si>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</si>
  <si>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</si>
  <si>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</si>
  <si>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</si>
  <si>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</si>
  <si>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</si>
  <si>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</si>
  <si>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</si>
  <si>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</si>
  <si>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</si>
  <si>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</si>
  <si>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</si>
  <si>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</si>
  <si>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</si>
  <si>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</si>
  <si>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</si>
  <si>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</si>
  <si>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</si>
  <si>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</si>
  <si>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</si>
  <si>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</si>
  <si>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</si>
  <si>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</si>
  <si>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</si>
  <si>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</si>
  <si>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</si>
  <si>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</si>
  <si>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</si>
  <si>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</si>
  <si>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</si>
  <si>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</si>
  <si>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</si>
  <si>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</si>
  <si>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</si>
  <si>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</si>
  <si>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</si>
  <si>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</si>
  <si>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</si>
  <si>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</si>
  <si>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</si>
  <si>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</si>
  <si>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</si>
  <si>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</si>
  <si>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</si>
  <si>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</si>
  <si>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</si>
  <si>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</si>
  <si>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</si>
  <si>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</si>
  <si>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</si>
  <si>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</si>
  <si>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</si>
  <si>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</si>
  <si>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</si>
  <si>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</si>
  <si>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</si>
  <si>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</si>
  <si>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</si>
  <si>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</si>
  <si>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</si>
  <si>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</si>
  <si>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</si>
  <si>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</si>
  <si>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</si>
  <si>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</si>
  <si>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</si>
  <si>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</si>
  <si>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</si>
  <si>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</si>
  <si>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</si>
  <si>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</si>
  <si>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</si>
  <si>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</si>
  <si>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</si>
  <si>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</si>
  <si>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</si>
  <si>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</si>
  <si>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</si>
  <si>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</si>
  <si>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</si>
  <si>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</si>
  <si>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</si>
  <si>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</si>
  <si>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</si>
  <si>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</si>
  <si>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</si>
  <si>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</si>
  <si>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</si>
  <si>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</si>
  <si>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</si>
  <si>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</si>
  <si>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</si>
  <si>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</si>
  <si>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</si>
  <si>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</si>
  <si>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</si>
  <si>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</si>
  <si>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</si>
  <si>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</si>
  <si>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</si>
  <si>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</si>
  <si>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</si>
  <si>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</si>
  <si>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</si>
  <si>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</si>
  <si>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</si>
  <si>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</si>
  <si>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</si>
  <si>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</si>
  <si>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</si>
  <si>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</si>
  <si>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</si>
  <si>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</si>
  <si>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</si>
  <si>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</si>
  <si>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</si>
  <si>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</si>
  <si>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</si>
  <si>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</si>
  <si>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</si>
  <si>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</si>
  <si>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</si>
  <si>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</si>
  <si>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</si>
  <si>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</si>
  <si>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</si>
  <si>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</si>
  <si>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</si>
  <si>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</si>
  <si>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</si>
  <si>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</si>
  <si>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</si>
  <si>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</si>
  <si>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</si>
  <si>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</si>
  <si>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</si>
  <si>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</si>
  <si>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</si>
  <si>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</si>
  <si>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</si>
  <si>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</si>
  <si>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</si>
  <si>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</si>
  <si>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</si>
  <si>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</si>
  <si>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</si>
  <si>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</si>
  <si>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</si>
  <si>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</si>
  <si>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</si>
  <si>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</si>
  <si>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</si>
  <si>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</si>
  <si>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</si>
  <si>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</si>
  <si>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</si>
  <si>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</si>
  <si>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</si>
  <si>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</si>
  <si>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</si>
  <si>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</si>
  <si>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</si>
  <si>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</si>
  <si>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</si>
  <si>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</si>
  <si>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</si>
  <si>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</si>
  <si>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</si>
  <si>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</si>
  <si>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</si>
  <si>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</si>
  <si>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</si>
  <si>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</si>
  <si>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</si>
  <si>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</si>
  <si>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</si>
  <si>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</si>
  <si>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</si>
  <si>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</si>
  <si>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</si>
  <si>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</si>
  <si>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</si>
  <si>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</si>
  <si>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</si>
  <si>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</si>
  <si>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</si>
  <si>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</si>
  <si>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</si>
  <si>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</si>
  <si>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</si>
  <si>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</si>
  <si>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</si>
  <si>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</si>
  <si>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</si>
  <si>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</si>
  <si>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</si>
  <si>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</si>
  <si>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</si>
  <si>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</si>
  <si>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</si>
  <si>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</si>
  <si>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</si>
  <si>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</si>
  <si>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</si>
  <si>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</si>
  <si>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</si>
  <si>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</si>
  <si>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</si>
  <si>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</si>
  <si>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</si>
  <si>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</si>
  <si>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</si>
  <si>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</si>
  <si>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</si>
  <si>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</si>
  <si>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</si>
  <si>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</si>
  <si>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</si>
  <si>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</si>
  <si>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</si>
  <si>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</si>
  <si>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</si>
  <si>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</si>
  <si>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</si>
  <si>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</si>
  <si>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</si>
  <si>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</si>
  <si>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</si>
  <si>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</si>
  <si>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</si>
  <si>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</si>
  <si>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</si>
  <si>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</si>
  <si>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</si>
  <si>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</si>
  <si>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</si>
  <si>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</si>
  <si>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</si>
  <si>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</si>
  <si>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</si>
  <si>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</si>
  <si>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</si>
  <si>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</si>
  <si>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</si>
  <si>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</si>
  <si>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</si>
  <si>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</si>
  <si>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</si>
  <si>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</si>
  <si>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</si>
  <si>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</si>
  <si>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</si>
  <si>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</si>
  <si>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</si>
  <si>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</si>
  <si>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</si>
  <si>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</si>
  <si>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</si>
  <si>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</si>
  <si>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</si>
  <si>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</si>
  <si>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</si>
  <si>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</si>
  <si>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</si>
  <si>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</si>
  <si>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</si>
  <si>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</si>
  <si>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</si>
  <si>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</si>
  <si>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</si>
  <si>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</si>
  <si>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</si>
  <si>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</si>
  <si>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</si>
  <si>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</si>
  <si>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</si>
  <si>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</si>
  <si>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</si>
  <si>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</si>
  <si>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</si>
  <si>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</si>
  <si>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</si>
  <si>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</si>
  <si>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</si>
  <si>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</si>
  <si>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</si>
  <si>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</si>
  <si>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</si>
  <si>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</si>
  <si>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</si>
  <si>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</si>
  <si>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</si>
  <si>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</si>
  <si>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</si>
  <si>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</si>
  <si>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</si>
  <si>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</si>
  <si>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</si>
  <si>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</si>
  <si>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</si>
  <si>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</si>
  <si>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</si>
  <si>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</si>
  <si>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</si>
  <si>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</si>
  <si>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</si>
  <si>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</si>
  <si>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</si>
  <si>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</si>
  <si>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</si>
  <si>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</si>
  <si>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</si>
  <si>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</si>
  <si>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</si>
  <si>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</si>
  <si>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</si>
  <si>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</si>
  <si>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</si>
  <si>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</si>
  <si>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</si>
  <si>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</si>
  <si>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</si>
  <si>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</si>
  <si>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</si>
  <si>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</si>
  <si>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</si>
  <si>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</si>
  <si>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</si>
  <si>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</si>
  <si>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</si>
  <si>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</si>
  <si>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</si>
  <si>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</si>
  <si>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</si>
  <si>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</si>
  <si>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</si>
  <si>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</si>
  <si>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</si>
  <si>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</si>
  <si>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</si>
  <si>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</si>
  <si>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</si>
  <si>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</si>
  <si>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</si>
  <si>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</si>
  <si>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</si>
  <si>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</si>
  <si>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</si>
  <si>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</si>
  <si>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</si>
  <si>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</si>
  <si>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</si>
  <si>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</si>
  <si>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</si>
  <si>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</si>
  <si>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</si>
  <si>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</si>
  <si>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</si>
  <si>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</si>
  <si>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</si>
  <si>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</si>
  <si>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</si>
  <si>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</si>
  <si>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</si>
  <si>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</si>
  <si>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</si>
  <si>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</si>
  <si>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</si>
  <si>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</si>
  <si>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</si>
  <si>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</si>
  <si>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</si>
  <si>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</si>
  <si>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</si>
  <si>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</si>
  <si>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</si>
  <si>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</si>
  <si>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</si>
  <si>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</si>
  <si>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</si>
  <si>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</si>
  <si>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</si>
  <si>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</si>
  <si>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</si>
  <si>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</si>
  <si>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</si>
  <si>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</si>
  <si>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</si>
  <si>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</si>
  <si>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</si>
  <si>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</si>
  <si>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</si>
  <si>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</si>
  <si>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</si>
  <si>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</si>
  <si>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</si>
  <si>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</si>
  <si>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</si>
  <si>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</si>
  <si>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</si>
  <si>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</si>
  <si>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</si>
  <si>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</si>
  <si>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</si>
  <si>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</si>
  <si>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</si>
  <si>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</si>
  <si>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</si>
  <si>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</si>
  <si>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</si>
  <si>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</si>
  <si>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</si>
  <si>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</si>
  <si>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</si>
  <si>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</si>
  <si>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</si>
  <si>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</si>
  <si>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</si>
  <si>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</si>
  <si>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</si>
  <si>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</si>
  <si>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</si>
  <si>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</si>
  <si>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</si>
  <si>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</si>
  <si>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</si>
  <si>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</si>
  <si>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</si>
  <si>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</si>
  <si>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</si>
  <si>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</si>
  <si>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</si>
  <si>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</si>
  <si>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</si>
  <si>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</si>
  <si>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</si>
  <si>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</si>
  <si>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</si>
  <si>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</si>
  <si>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</si>
  <si>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</si>
  <si>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</si>
  <si>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</si>
  <si>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</si>
  <si>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</si>
  <si>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</si>
  <si>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</si>
  <si>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</si>
  <si>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</si>
  <si>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</si>
  <si>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</si>
  <si>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</si>
  <si>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</si>
  <si>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</si>
  <si>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</si>
  <si>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</si>
  <si>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</si>
  <si>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</si>
  <si>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</si>
  <si>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</si>
  <si>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</si>
  <si>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</si>
  <si>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</si>
  <si>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</si>
  <si>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</si>
  <si>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</si>
  <si>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</si>
  <si>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</si>
  <si>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</si>
  <si>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</si>
  <si>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</si>
  <si>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</si>
  <si>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</si>
  <si>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</si>
  <si>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</si>
  <si>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</si>
  <si>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</si>
  <si>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</si>
  <si>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</si>
  <si>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</si>
  <si>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</si>
  <si>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</si>
  <si>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</si>
  <si>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</si>
  <si>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</si>
  <si>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</si>
  <si>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</si>
  <si>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</si>
  <si>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</si>
  <si>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</si>
  <si>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</si>
  <si>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</si>
  <si>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</si>
  <si>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</si>
  <si>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</si>
  <si>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</si>
  <si>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</si>
  <si>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</si>
  <si>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</si>
  <si>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</si>
  <si>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</si>
  <si>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</si>
  <si>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</si>
  <si>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</si>
  <si>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</si>
  <si>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</si>
  <si>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</si>
  <si>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</si>
  <si>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</si>
  <si>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</si>
  <si>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</si>
  <si>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</si>
  <si>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</si>
  <si>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</si>
  <si>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</si>
  <si>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</si>
  <si>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</si>
  <si>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</si>
  <si>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</si>
  <si>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</si>
  <si>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</si>
  <si>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</si>
  <si>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</si>
  <si>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</si>
  <si>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</si>
  <si>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</si>
  <si>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</si>
  <si>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</si>
  <si>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</si>
  <si>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</si>
  <si>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</si>
  <si>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</si>
  <si>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</si>
  <si>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</si>
  <si>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</si>
  <si>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</si>
  <si>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</si>
  <si>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</si>
  <si>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</si>
  <si>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</si>
  <si>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</si>
  <si>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</si>
  <si>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</si>
  <si>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</si>
  <si>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</si>
  <si>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</si>
  <si>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</si>
  <si>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</si>
  <si>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</si>
  <si>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</si>
  <si>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</si>
  <si>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</si>
  <si>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</si>
  <si>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</si>
  <si>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</si>
  <si>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</si>
  <si>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</si>
  <si>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</si>
  <si>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</si>
  <si>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</si>
  <si>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</si>
  <si>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</si>
  <si>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</si>
  <si>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</si>
  <si>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</si>
  <si>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</si>
  <si>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</si>
  <si>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</si>
  <si>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</si>
  <si>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</si>
  <si>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</si>
  <si>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</si>
  <si>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</si>
  <si>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</si>
  <si>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</si>
  <si>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</si>
  <si>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</si>
  <si>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</si>
  <si>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</si>
  <si>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</si>
  <si>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</si>
  <si>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</si>
  <si>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</si>
  <si>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</si>
  <si>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</si>
  <si>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</si>
  <si>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</si>
  <si>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</si>
  <si>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</si>
  <si>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</si>
  <si>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</si>
  <si>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</si>
  <si>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</si>
  <si>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</si>
  <si>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</si>
  <si>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</si>
  <si>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</si>
  <si>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</si>
  <si>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</si>
  <si>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</si>
  <si>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</si>
  <si>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</si>
  <si>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</si>
  <si>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</si>
  <si>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</si>
  <si>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</si>
  <si>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</si>
  <si>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</si>
  <si>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</si>
  <si>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</si>
  <si>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</si>
  <si>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</si>
  <si>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</si>
  <si>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</si>
  <si>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</si>
  <si>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</si>
  <si>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</si>
  <si>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</si>
  <si>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</si>
  <si>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</si>
  <si>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</si>
  <si>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</si>
  <si>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</si>
  <si>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</si>
  <si>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</si>
  <si>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</si>
  <si>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</si>
  <si>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</si>
  <si>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</si>
  <si>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</si>
  <si>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</si>
  <si>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</si>
  <si>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</si>
  <si>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</si>
  <si>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</si>
  <si>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</si>
  <si>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</si>
  <si>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</si>
  <si>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</si>
  <si>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</si>
  <si>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</si>
  <si>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</si>
  <si>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</si>
  <si>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</si>
  <si>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</si>
  <si>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</si>
  <si>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</si>
  <si>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</si>
  <si>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</si>
  <si>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</si>
  <si>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</si>
  <si>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</si>
  <si>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</si>
  <si>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</si>
  <si>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</si>
  <si>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</si>
  <si>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</si>
  <si>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</si>
  <si>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</si>
  <si>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</si>
  <si>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</si>
  <si>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</si>
  <si>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</si>
  <si>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</si>
  <si>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</si>
  <si>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</si>
  <si>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</si>
  <si>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</si>
  <si>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</si>
  <si>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</si>
  <si>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</si>
  <si>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</si>
  <si>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</si>
  <si>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</si>
  <si>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</si>
  <si>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</si>
  <si>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</si>
  <si>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</si>
  <si>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</si>
  <si>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</si>
  <si>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</si>
  <si>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</si>
  <si>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</si>
  <si>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</si>
  <si>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</si>
  <si>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</si>
  <si>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</si>
  <si>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</si>
  <si>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</si>
  <si>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</si>
  <si>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</si>
  <si>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</si>
  <si>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</si>
  <si>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</si>
  <si>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</si>
  <si>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</si>
  <si>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</si>
  <si>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</si>
  <si>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</si>
  <si>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</si>
  <si>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</si>
  <si>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</si>
  <si>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</si>
  <si>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</si>
  <si>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</si>
  <si>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</si>
  <si>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</si>
  <si>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</si>
  <si>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</si>
  <si>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</si>
  <si>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</si>
  <si>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</si>
  <si>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</si>
  <si>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</si>
  <si>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</si>
  <si>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</si>
  <si>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</si>
  <si>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</si>
  <si>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</si>
  <si>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</si>
  <si>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</si>
  <si>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</si>
  <si>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</si>
  <si>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</si>
  <si>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</si>
  <si>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</si>
  <si>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</si>
  <si>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</si>
  <si>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</si>
  <si>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</si>
  <si>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</si>
  <si>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</si>
  <si>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</si>
  <si>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</si>
  <si>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</si>
  <si>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</si>
  <si>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</si>
  <si>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</si>
  <si>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</si>
  <si>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</si>
  <si>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</si>
  <si>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</si>
  <si>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</si>
  <si>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</si>
  <si>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</si>
  <si>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</si>
  <si>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</si>
  <si>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</si>
  <si>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</si>
  <si>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</si>
  <si>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</si>
  <si>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</si>
  <si>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</si>
  <si>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</si>
  <si>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</si>
  <si>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</si>
  <si>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</si>
  <si>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</si>
  <si>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</si>
  <si>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</si>
  <si>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</si>
  <si>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</si>
  <si>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</si>
  <si>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</si>
  <si>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</si>
  <si>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</si>
  <si>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</si>
  <si>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</si>
  <si>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</si>
  <si>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</si>
  <si>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</si>
  <si>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</si>
  <si>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</si>
  <si>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</si>
  <si>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</si>
  <si>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</si>
  <si>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</si>
  <si>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</si>
  <si>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</si>
  <si>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</si>
  <si>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</si>
  <si>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</si>
  <si>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</si>
  <si>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</si>
  <si>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</si>
  <si>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</si>
  <si>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</si>
  <si>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</si>
  <si>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</si>
  <si>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</si>
  <si>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</si>
  <si>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</si>
  <si>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</si>
  <si>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</si>
  <si>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</si>
  <si>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</si>
  <si>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</si>
  <si>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</si>
  <si>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</si>
  <si>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</si>
  <si>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</si>
  <si>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</si>
  <si>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</si>
  <si>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</si>
  <si>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</si>
  <si>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</si>
  <si>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</si>
  <si>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</si>
  <si>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</si>
  <si>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</si>
  <si>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</si>
  <si>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</si>
  <si>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</si>
  <si>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</si>
  <si>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</si>
  <si>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</si>
  <si>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</si>
  <si>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</si>
  <si>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</si>
  <si>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</si>
  <si>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</si>
  <si>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</si>
  <si>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</si>
  <si>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</si>
  <si>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</si>
  <si>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</si>
  <si>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</si>
  <si>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</si>
  <si>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</si>
  <si>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</si>
  <si>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</si>
  <si>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</si>
  <si>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</si>
  <si>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</si>
  <si>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</si>
  <si>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</si>
  <si>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</si>
  <si>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</si>
  <si>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</si>
  <si>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</si>
  <si>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</si>
  <si>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</si>
  <si>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</si>
  <si>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</si>
  <si>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</si>
  <si>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</si>
  <si>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</si>
  <si>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</si>
  <si>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</si>
  <si>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</si>
  <si>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</si>
  <si>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</si>
  <si>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</si>
  <si>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</si>
  <si>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</si>
  <si>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</si>
  <si>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</si>
  <si>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</si>
  <si>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</si>
  <si>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</si>
  <si>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</si>
  <si>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</si>
  <si>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</si>
  <si>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</si>
  <si>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</si>
  <si>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</si>
  <si>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</si>
  <si>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</si>
  <si>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</si>
  <si>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</si>
  <si>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</si>
  <si>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</si>
  <si>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</si>
  <si>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</si>
  <si>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</si>
  <si>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</si>
  <si>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</si>
  <si>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</si>
  <si>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</si>
  <si>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</si>
  <si>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</si>
  <si>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</si>
  <si>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</si>
  <si>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</si>
  <si>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</si>
  <si>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</si>
  <si>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</si>
  <si>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</si>
  <si>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</si>
  <si>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</si>
  <si>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</si>
  <si>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</si>
  <si>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</si>
  <si>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</si>
  <si>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</si>
  <si>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</si>
  <si>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</si>
  <si>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</si>
  <si>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</si>
  <si>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</si>
  <si>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</si>
  <si>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</si>
  <si>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</si>
  <si>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</si>
  <si>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</si>
  <si>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</si>
  <si>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</si>
  <si>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</si>
  <si>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</si>
  <si>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</si>
  <si>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</si>
  <si>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</si>
  <si>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</si>
  <si>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</si>
  <si>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</si>
  <si>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</si>
  <si>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</si>
  <si>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</si>
  <si>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</si>
  <si>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</si>
  <si>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</si>
  <si>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</si>
  <si>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</si>
  <si>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</si>
  <si>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</si>
  <si>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</si>
  <si>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</si>
  <si>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</si>
  <si>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</si>
  <si>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</si>
  <si>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</si>
  <si>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</si>
  <si>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</si>
  <si>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</si>
  <si>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</si>
  <si>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</si>
  <si>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</si>
  <si>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</si>
  <si>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</si>
  <si>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</si>
  <si>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</si>
  <si>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</si>
  <si>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</si>
  <si>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</si>
  <si>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</si>
  <si>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</si>
  <si>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</si>
  <si>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</si>
  <si>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</si>
  <si>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</si>
  <si>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</si>
  <si>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</si>
  <si>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</si>
  <si>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</si>
  <si>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</si>
  <si>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</si>
  <si>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</si>
  <si>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</si>
  <si>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</si>
  <si>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</si>
  <si>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</si>
  <si>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</si>
  <si>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</si>
  <si>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</si>
  <si>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</si>
  <si>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</si>
  <si>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</si>
  <si>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</si>
  <si>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</si>
  <si>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</si>
  <si>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</si>
  <si>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</si>
  <si>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</si>
  <si>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</si>
  <si>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</si>
  <si>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</si>
  <si>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</si>
  <si>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</si>
  <si>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</si>
  <si>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</si>
  <si>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</si>
  <si>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</si>
  <si>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</si>
  <si>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</si>
  <si>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</si>
  <si>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</si>
  <si>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</si>
  <si>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</si>
  <si>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</si>
  <si>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</si>
  <si>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</si>
  <si>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</si>
  <si>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</si>
  <si>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</si>
  <si>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</si>
  <si>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</si>
  <si>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</si>
  <si>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</si>
  <si>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</si>
  <si>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</si>
  <si>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</si>
  <si>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</si>
  <si>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</si>
  <si>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</si>
  <si>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</si>
  <si>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</si>
  <si>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</si>
  <si>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</si>
  <si>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</si>
  <si>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</si>
  <si>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</si>
  <si>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</si>
  <si>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</si>
  <si>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</si>
  <si>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</si>
  <si>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</si>
  <si>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</si>
  <si>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</si>
  <si>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</si>
  <si>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</si>
  <si>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</si>
  <si>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</si>
  <si>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</si>
  <si>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</si>
  <si>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</si>
  <si>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</si>
  <si>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</si>
  <si>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</si>
  <si>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</si>
  <si>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</si>
  <si>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</si>
  <si>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</si>
  <si>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</si>
  <si>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</si>
  <si>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</si>
  <si>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</si>
  <si>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</si>
  <si>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</si>
  <si>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</si>
  <si>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</si>
  <si>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</si>
  <si>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</si>
  <si>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</si>
  <si>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</si>
  <si>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</si>
  <si>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</si>
  <si>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</si>
  <si>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</si>
  <si>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</si>
  <si>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</si>
  <si>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</si>
  <si>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</si>
  <si>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</si>
  <si>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</si>
  <si>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</si>
  <si>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</si>
  <si>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</si>
  <si>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</si>
  <si>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</si>
  <si>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</si>
  <si>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</si>
  <si>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</si>
  <si>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</si>
  <si>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</si>
  <si>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</si>
  <si>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</si>
  <si>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</si>
  <si>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</si>
  <si>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</si>
  <si>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</si>
  <si>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</si>
  <si>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</si>
  <si>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</si>
  <si>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</si>
  <si>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</si>
  <si>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</si>
  <si>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</si>
  <si>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</si>
  <si>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</si>
  <si>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</si>
  <si>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</si>
  <si>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</si>
  <si>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</si>
  <si>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</si>
  <si>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</si>
  <si>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</si>
  <si>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</si>
  <si>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</si>
  <si>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</si>
  <si>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</si>
  <si>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</si>
  <si>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</si>
  <si>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</si>
  <si>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</si>
  <si>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</si>
  <si>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</si>
  <si>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</si>
  <si>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</si>
  <si>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</si>
  <si>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</si>
  <si>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</si>
  <si>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</si>
  <si>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</si>
  <si>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</si>
  <si>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</si>
  <si>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</si>
  <si>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</si>
  <si>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</si>
  <si>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</si>
  <si>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</si>
  <si>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</si>
  <si>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</si>
  <si>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</si>
  <si>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</si>
  <si>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</si>
  <si>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</si>
  <si>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</si>
  <si>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</si>
  <si>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</si>
  <si>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</si>
  <si>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</si>
  <si>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</si>
  <si>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</si>
  <si>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</si>
  <si>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</si>
  <si>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</si>
  <si>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</si>
  <si>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</si>
  <si>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</si>
  <si>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</si>
  <si>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</si>
  <si>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</si>
  <si>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</si>
  <si>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</si>
  <si>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</si>
  <si>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</si>
  <si>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</si>
  <si>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</si>
  <si>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</si>
  <si>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</si>
  <si>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</si>
  <si>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</si>
  <si>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</si>
  <si>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</si>
  <si>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</si>
  <si>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</si>
  <si>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</si>
  <si>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</si>
  <si>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</si>
  <si>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</si>
  <si>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</si>
  <si>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</si>
  <si>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</si>
  <si>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</si>
  <si>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</si>
  <si>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</si>
  <si>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</si>
  <si>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</si>
  <si>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</si>
  <si>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</si>
  <si>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</si>
  <si>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</si>
  <si>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</si>
  <si>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</si>
  <si>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</si>
  <si>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</si>
  <si>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</si>
  <si>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</si>
  <si>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</si>
  <si>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</si>
  <si>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</si>
  <si>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</si>
  <si>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</si>
  <si>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</si>
  <si>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</si>
  <si>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</si>
  <si>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</si>
  <si>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</si>
  <si>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</si>
  <si>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</si>
  <si>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</si>
  <si>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</si>
  <si>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</si>
  <si>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</si>
  <si>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</si>
  <si>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</si>
  <si>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</si>
  <si>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</si>
  <si>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</si>
  <si>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</si>
  <si>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</si>
  <si>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</si>
  <si>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</si>
  <si>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</si>
  <si>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</si>
  <si>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</si>
  <si>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</si>
  <si>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</si>
  <si>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</si>
  <si>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</si>
  <si>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</si>
  <si>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</si>
  <si>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</si>
  <si>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</si>
  <si>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</si>
  <si>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</si>
  <si>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</si>
  <si>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</si>
  <si>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</si>
  <si>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</si>
  <si>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</si>
  <si>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</si>
  <si>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</si>
  <si>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</si>
  <si>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</si>
  <si>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</si>
  <si>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</si>
  <si>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</si>
  <si>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</si>
  <si>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</si>
  <si>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</si>
  <si>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</si>
  <si>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</si>
  <si>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</si>
  <si>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</si>
  <si>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</si>
  <si>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</si>
  <si>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</si>
  <si>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</si>
  <si>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</si>
  <si>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</si>
  <si>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</si>
  <si>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</si>
  <si>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</si>
  <si>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</si>
  <si>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</si>
  <si>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</si>
  <si>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</si>
  <si>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</si>
  <si>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</si>
  <si>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</si>
  <si>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</si>
  <si>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</si>
  <si>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</si>
  <si>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</si>
  <si>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</si>
  <si>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</si>
  <si>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</si>
  <si>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</si>
  <si>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</si>
  <si>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</si>
  <si>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</si>
  <si>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</si>
  <si>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</si>
  <si>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</si>
  <si>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</si>
  <si>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</si>
  <si>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</si>
  <si>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</si>
  <si>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</si>
  <si>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</si>
  <si>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</si>
  <si>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</si>
  <si>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</si>
  <si>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</si>
  <si>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</si>
  <si>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</si>
  <si>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</si>
  <si>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</si>
  <si>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</si>
  <si>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</si>
  <si>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</si>
  <si>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</si>
  <si>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</si>
  <si>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</si>
  <si>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</si>
  <si>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</si>
  <si>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</si>
  <si>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</si>
  <si>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</si>
  <si>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</si>
  <si>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</si>
  <si>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</si>
  <si>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</si>
  <si>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</si>
  <si>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</si>
  <si>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</si>
  <si>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</si>
  <si>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</si>
  <si>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</si>
  <si>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</si>
  <si>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</si>
  <si>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</si>
  <si>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</si>
  <si>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</si>
  <si>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</si>
  <si>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</si>
  <si>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</si>
  <si>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</si>
  <si>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</si>
  <si>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</si>
  <si>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</si>
  <si>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</si>
  <si>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</si>
  <si>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</si>
  <si>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</si>
  <si>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</si>
  <si>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</si>
  <si>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</si>
  <si>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</si>
  <si>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</si>
  <si>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</si>
  <si>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</si>
  <si>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</si>
  <si>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</si>
  <si>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</si>
  <si>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</si>
  <si>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</si>
  <si>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</si>
  <si>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</si>
  <si>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</si>
  <si>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</si>
  <si>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</si>
  <si>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</si>
  <si>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</si>
  <si>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</si>
  <si>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</si>
  <si>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</si>
  <si>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</si>
  <si>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</si>
  <si>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</si>
  <si>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</si>
  <si>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</si>
  <si>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</si>
  <si>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</si>
  <si>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</si>
  <si>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</si>
  <si>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</si>
  <si>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</si>
  <si>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</si>
  <si>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</si>
  <si>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</si>
  <si>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</si>
  <si>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</si>
  <si>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</si>
  <si>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</si>
  <si>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</si>
  <si>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</si>
  <si>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</si>
  <si>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</si>
  <si>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</si>
  <si>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</si>
  <si>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</si>
  <si>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</si>
  <si>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</si>
  <si>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</si>
  <si>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</si>
  <si>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</si>
  <si>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</si>
  <si>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</si>
  <si>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</si>
  <si>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</si>
  <si>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</si>
  <si>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</si>
  <si>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</si>
  <si>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</si>
  <si>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</si>
  <si>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</si>
  <si>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</si>
  <si>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</si>
  <si>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</si>
  <si>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</si>
  <si>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</si>
  <si>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</si>
  <si>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</si>
  <si>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</si>
  <si>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</si>
  <si>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</si>
  <si>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</si>
  <si>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</si>
  <si>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</si>
  <si>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</si>
  <si>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</si>
  <si>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</si>
  <si>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</si>
  <si>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</si>
  <si>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</si>
  <si>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</si>
  <si>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</si>
  <si>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</si>
  <si>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</si>
  <si>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</si>
  <si>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</si>
  <si>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</si>
  <si>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</si>
  <si>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</si>
  <si>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</si>
  <si>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</si>
  <si>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</si>
  <si>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</si>
  <si>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</si>
  <si>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</si>
  <si>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</si>
  <si>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</si>
  <si>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</si>
  <si>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</si>
  <si>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</si>
  <si>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</si>
  <si>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</si>
  <si>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</si>
  <si>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</si>
  <si>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</si>
  <si>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</si>
  <si>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</si>
  <si>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</si>
  <si>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</si>
  <si>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</si>
  <si>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</si>
  <si>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</si>
  <si>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</si>
  <si>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</si>
  <si>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</si>
  <si>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</si>
  <si>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</si>
  <si>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</si>
  <si>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</si>
  <si>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</si>
  <si>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</si>
  <si>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</si>
  <si>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</si>
  <si>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</si>
  <si>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</si>
  <si>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</si>
  <si>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</si>
  <si>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</si>
  <si>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</si>
  <si>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</si>
  <si>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</si>
  <si>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</si>
  <si>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</si>
  <si>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</si>
  <si>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</si>
  <si>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</si>
  <si>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</si>
  <si>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</si>
  <si>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</si>
  <si>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</si>
  <si>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</si>
  <si>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</si>
  <si>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</si>
  <si>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</si>
  <si>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</si>
  <si>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</si>
  <si>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</si>
  <si>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</si>
  <si>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</si>
  <si>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</si>
  <si>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</si>
  <si>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</si>
  <si>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</si>
  <si>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</si>
  <si>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</si>
  <si>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</si>
  <si>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</si>
  <si>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</si>
  <si>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</si>
  <si>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</si>
  <si>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</si>
  <si>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</si>
  <si>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</si>
  <si>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</si>
  <si>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</si>
  <si>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</si>
  <si>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</si>
  <si>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</si>
  <si>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</si>
  <si>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</si>
  <si>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</si>
  <si>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</si>
  <si>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</si>
  <si>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</si>
  <si>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</si>
  <si>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</si>
  <si>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</si>
  <si>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</si>
  <si>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</si>
  <si>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</si>
  <si>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</si>
  <si>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</si>
  <si>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</si>
  <si>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</si>
  <si>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</si>
  <si>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</si>
  <si>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</si>
  <si>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</si>
  <si>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</si>
  <si>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</si>
  <si>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</si>
  <si>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</si>
  <si>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</si>
  <si>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</si>
  <si>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</si>
  <si>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</si>
  <si>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</si>
  <si>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</si>
  <si>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</si>
  <si>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</si>
  <si>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</si>
  <si>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</si>
  <si>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</si>
  <si>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</si>
  <si>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</si>
  <si>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</si>
  <si>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</si>
  <si>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</si>
  <si>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</si>
  <si>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</si>
  <si>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</si>
  <si>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</si>
  <si>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</si>
  <si>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</si>
  <si>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</si>
  <si>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</si>
  <si>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</si>
  <si>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</si>
  <si>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</si>
  <si>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</si>
  <si>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</si>
  <si>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</si>
  <si>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</si>
  <si>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</si>
  <si>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</si>
  <si>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</si>
  <si>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</si>
  <si>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</si>
  <si>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</si>
  <si>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</si>
  <si>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</si>
  <si>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</si>
  <si>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</si>
  <si>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</si>
  <si>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</si>
  <si>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</si>
  <si>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</si>
  <si>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</si>
  <si>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</si>
  <si>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</si>
  <si>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</si>
  <si>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</si>
  <si>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</si>
  <si>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</si>
  <si>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</si>
  <si>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</si>
  <si>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</si>
  <si>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</si>
  <si>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</si>
  <si>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</si>
  <si>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</si>
  <si>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</si>
  <si>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</si>
  <si>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</si>
  <si>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</si>
  <si>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</si>
  <si>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</si>
  <si>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</si>
  <si>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</si>
  <si>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</si>
  <si>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</si>
  <si>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</si>
  <si>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</si>
  <si>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</si>
  <si>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</si>
  <si>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</si>
  <si>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</si>
  <si>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</si>
  <si>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</si>
  <si>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</si>
  <si>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</si>
  <si>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</si>
  <si>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</si>
  <si>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</si>
  <si>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</si>
  <si>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</si>
  <si>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</si>
  <si>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</si>
  <si>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</si>
  <si>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</si>
  <si>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</si>
  <si>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</si>
  <si>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</si>
  <si>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</si>
  <si>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</si>
  <si>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</si>
  <si>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</si>
  <si>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</si>
  <si>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</si>
  <si>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</si>
  <si>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</si>
  <si>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</si>
  <si>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</si>
  <si>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</si>
  <si>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</si>
  <si>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</si>
  <si>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</si>
  <si>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</si>
  <si>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</si>
  <si>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</si>
  <si>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</si>
  <si>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</si>
  <si>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</si>
  <si>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</si>
  <si>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</si>
  <si>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</si>
  <si>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</si>
  <si>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</si>
  <si>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</si>
  <si>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</si>
  <si>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</si>
  <si>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</si>
  <si>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</si>
  <si>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</si>
  <si>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</si>
  <si>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</si>
  <si>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</si>
  <si>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</si>
  <si>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</si>
  <si>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</si>
  <si>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</si>
  <si>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</si>
  <si>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</si>
  <si>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</si>
  <si>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</si>
  <si>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</si>
  <si>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</si>
  <si>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</si>
  <si>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</si>
  <si>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</si>
  <si>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</si>
  <si>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</si>
  <si>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</si>
  <si>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</si>
  <si>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</si>
  <si>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</si>
  <si>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</si>
  <si>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</si>
  <si>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</si>
  <si>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</si>
  <si>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</si>
  <si>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</si>
  <si>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</si>
  <si>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</si>
  <si>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</si>
  <si>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</si>
  <si>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</si>
  <si>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</si>
  <si>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</si>
  <si>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</si>
  <si>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</si>
  <si>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</si>
  <si>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</si>
  <si>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</si>
  <si>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</si>
  <si>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</si>
  <si>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</si>
  <si>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</si>
  <si>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</si>
  <si>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</si>
  <si>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</si>
  <si>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</si>
  <si>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</si>
  <si>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</si>
  <si>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</si>
  <si>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</si>
  <si>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</si>
  <si>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</si>
  <si>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</si>
  <si>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</si>
  <si>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</si>
  <si>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</si>
  <si>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</si>
  <si>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</si>
  <si>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</si>
  <si>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</si>
  <si>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</si>
  <si>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</si>
  <si>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</si>
  <si>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</si>
  <si>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</si>
  <si>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</si>
  <si>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</si>
  <si>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</si>
  <si>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</si>
  <si>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</si>
  <si>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</si>
  <si>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</si>
  <si>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</si>
  <si>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</si>
  <si>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</si>
  <si>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</si>
  <si>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</si>
  <si>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</si>
  <si>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</si>
  <si>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</si>
  <si>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</si>
  <si>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</si>
  <si>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</si>
  <si>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</si>
  <si>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</si>
  <si>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</si>
  <si>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</si>
  <si>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</si>
  <si>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</si>
  <si>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</si>
  <si>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</si>
  <si>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</si>
  <si>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</si>
  <si>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</si>
  <si>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</si>
  <si>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</si>
  <si>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</si>
  <si>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</si>
  <si>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</si>
  <si>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</si>
  <si>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</si>
  <si>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</si>
  <si>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</si>
  <si>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</si>
  <si>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</si>
  <si>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</si>
  <si>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</si>
  <si>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</si>
  <si>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</si>
  <si>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</si>
  <si>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</si>
  <si>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</si>
  <si>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</si>
  <si>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</si>
  <si>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</si>
  <si>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</si>
  <si>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</si>
  <si>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</si>
  <si>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</si>
  <si>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</si>
  <si>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</si>
  <si>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</si>
  <si>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</si>
  <si>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</si>
  <si>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</si>
  <si>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</si>
  <si>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</si>
  <si>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</si>
  <si>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</si>
  <si>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</si>
  <si>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</si>
  <si>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</si>
  <si>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</si>
  <si>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</si>
  <si>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</si>
  <si>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</si>
  <si>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</si>
  <si>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</si>
  <si>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</si>
  <si>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</si>
  <si>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</si>
  <si>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</si>
  <si>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</si>
  <si>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</si>
  <si>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</si>
  <si>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</si>
  <si>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</si>
  <si>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</si>
  <si>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</si>
  <si>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</si>
  <si>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</si>
  <si>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</si>
  <si>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</si>
  <si>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</si>
  <si>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</si>
  <si>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</si>
  <si>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</si>
  <si>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</si>
  <si>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</si>
  <si>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</si>
  <si>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</si>
  <si>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</si>
  <si>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</si>
  <si>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</si>
  <si>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</si>
  <si>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</si>
  <si>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</si>
  <si>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</si>
  <si>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</si>
  <si>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</si>
  <si>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</si>
  <si>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</si>
  <si>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</si>
  <si>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</si>
  <si>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</si>
  <si>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</si>
  <si>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</si>
  <si>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</si>
  <si>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</si>
  <si>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</si>
  <si>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</si>
  <si>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</si>
  <si>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</si>
  <si>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</si>
  <si>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</si>
  <si>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</si>
  <si>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</si>
  <si>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</si>
  <si>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</si>
  <si>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</si>
  <si>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</si>
  <si>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</si>
  <si>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</si>
  <si>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</si>
  <si>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</si>
  <si>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</si>
  <si>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</si>
  <si>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</si>
  <si>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</si>
  <si>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</si>
  <si>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</si>
  <si>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</si>
  <si>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</si>
  <si>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</si>
  <si>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</si>
  <si>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</si>
  <si>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</si>
  <si>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</si>
  <si>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</si>
  <si>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</si>
  <si>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</si>
  <si>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</si>
  <si>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</si>
  <si>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</si>
  <si>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</si>
  <si>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</si>
  <si>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</si>
  <si>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</si>
  <si>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</si>
  <si>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</si>
  <si>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</si>
  <si>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</si>
  <si>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</si>
  <si>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</si>
  <si>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</si>
  <si>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</si>
  <si>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</si>
  <si>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</si>
  <si>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</si>
  <si>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</si>
  <si>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</si>
  <si>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</si>
  <si>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</si>
  <si>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</si>
  <si>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</si>
  <si>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</si>
  <si>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</si>
  <si>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</si>
  <si>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</si>
  <si>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</si>
  <si>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</si>
  <si>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</si>
  <si>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</si>
  <si>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</si>
  <si>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</si>
  <si>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</si>
  <si>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</si>
  <si>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</si>
  <si>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</si>
  <si>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</si>
  <si>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</si>
  <si>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</si>
  <si>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</si>
  <si>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</si>
  <si>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</si>
  <si>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</si>
  <si>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</si>
  <si>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</si>
  <si>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</si>
  <si>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</si>
  <si>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</si>
  <si>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</si>
  <si>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</si>
  <si>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</si>
  <si>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</si>
  <si>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</si>
  <si>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</si>
  <si>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</si>
  <si>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</si>
  <si>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</si>
  <si>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</si>
  <si>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</si>
  <si>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</si>
  <si>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</si>
  <si>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</si>
  <si>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</si>
  <si>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</si>
  <si>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</si>
  <si>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</si>
  <si>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</si>
  <si>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</si>
  <si>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</si>
  <si>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</si>
  <si>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</si>
  <si>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</si>
  <si>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</si>
  <si>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</si>
  <si>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</si>
  <si>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</si>
  <si>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</si>
  <si>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</si>
  <si>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</si>
  <si>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</si>
  <si>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</si>
  <si>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</si>
  <si>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</si>
  <si>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</si>
  <si>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</si>
  <si>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</si>
  <si>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</si>
  <si>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</si>
  <si>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</si>
  <si>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</si>
  <si>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</si>
  <si>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</si>
  <si>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</si>
  <si>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</si>
  <si>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</si>
  <si>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</si>
  <si>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</si>
  <si>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</si>
  <si>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</si>
  <si>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</si>
  <si>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</si>
  <si>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</si>
  <si>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</si>
  <si>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</si>
  <si>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</si>
  <si>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</si>
  <si>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</si>
  <si>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</si>
  <si>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</si>
  <si>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</si>
  <si>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</si>
  <si>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</si>
  <si>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</si>
  <si>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</si>
  <si>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</si>
  <si>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</si>
  <si>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</si>
  <si>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</si>
  <si>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</si>
  <si>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</si>
  <si>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</si>
  <si>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</si>
  <si>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</si>
  <si>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</si>
  <si>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</si>
  <si>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</si>
  <si>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</si>
  <si>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</si>
  <si>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</si>
  <si>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</si>
  <si>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</si>
  <si>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</si>
  <si>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</si>
  <si>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</si>
  <si>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</si>
  <si>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</si>
  <si>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</si>
  <si>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</si>
  <si>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</si>
  <si>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</si>
  <si>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</si>
  <si>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</si>
  <si>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</si>
  <si>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</si>
  <si>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</si>
  <si>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</si>
  <si>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</si>
  <si>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</si>
  <si>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</si>
  <si>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</si>
  <si>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</si>
  <si>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</si>
  <si>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</si>
  <si>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</si>
  <si>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</si>
  <si>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</si>
  <si>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</si>
  <si>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</si>
  <si>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</si>
  <si>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</si>
  <si>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</si>
  <si>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</si>
  <si>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</si>
  <si>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</si>
  <si>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</si>
  <si>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</si>
  <si>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</si>
  <si>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</si>
  <si>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</si>
  <si>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</si>
  <si>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</si>
  <si>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</si>
  <si>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</si>
  <si>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</si>
  <si>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</si>
  <si>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</si>
  <si>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</si>
  <si>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</si>
  <si>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</si>
  <si>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</si>
  <si>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</si>
  <si>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</si>
  <si>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</si>
  <si>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</si>
  <si>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</si>
  <si>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</si>
  <si>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</si>
  <si>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</si>
  <si>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</si>
  <si>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</si>
  <si>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</si>
  <si>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</si>
  <si>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</si>
  <si>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</si>
  <si>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</si>
  <si>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</si>
  <si>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</si>
  <si>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</si>
  <si>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</si>
  <si>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</si>
  <si>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</si>
  <si>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</si>
  <si>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</si>
  <si>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</si>
  <si>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</si>
  <si>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</si>
  <si>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</si>
  <si>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</si>
  <si>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</si>
  <si>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</si>
  <si>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</si>
  <si>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</si>
  <si>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</si>
  <si>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</si>
  <si>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</si>
  <si>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</si>
  <si>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</si>
  <si>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</si>
  <si>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</si>
  <si>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</si>
  <si>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</si>
  <si>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</si>
  <si>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</si>
  <si>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</si>
  <si>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</si>
  <si>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</si>
  <si>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</si>
  <si>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</si>
  <si>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</si>
  <si>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</si>
  <si>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</si>
  <si>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</si>
  <si>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</si>
  <si>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</si>
  <si>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</si>
  <si>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</si>
  <si>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</si>
  <si>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</si>
  <si>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</si>
  <si>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</si>
  <si>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</si>
  <si>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</si>
  <si>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</si>
  <si>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</si>
  <si>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</si>
  <si>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</si>
  <si>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</si>
  <si>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</si>
  <si>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</si>
  <si>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</si>
  <si>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</si>
  <si>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</si>
  <si>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</si>
  <si>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</si>
  <si>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</si>
  <si>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</si>
  <si>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</si>
  <si>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</si>
  <si>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</si>
  <si>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</si>
  <si>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</si>
  <si>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</si>
  <si>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</si>
  <si>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</si>
  <si>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</si>
  <si>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</si>
  <si>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</si>
  <si>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</si>
  <si>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</si>
  <si>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</si>
  <si>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</si>
  <si>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</si>
  <si>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</si>
  <si>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</si>
  <si>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</si>
  <si>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</si>
  <si>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</si>
  <si>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</si>
  <si>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</si>
  <si>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</si>
  <si>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</si>
  <si>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</si>
  <si>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</si>
  <si>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</si>
  <si>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</si>
  <si>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</si>
  <si>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</si>
  <si>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</si>
  <si>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</si>
  <si>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</si>
  <si>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</si>
  <si>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</si>
  <si>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</si>
  <si>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</si>
  <si>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</si>
  <si>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</si>
  <si>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</si>
  <si>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</si>
  <si>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</si>
  <si>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</si>
  <si>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</si>
  <si>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</si>
  <si>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</si>
  <si>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</si>
  <si>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</si>
  <si>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</si>
  <si>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</si>
  <si>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</si>
  <si>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</si>
  <si>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</si>
  <si>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</si>
  <si>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</si>
  <si>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</si>
  <si>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</si>
  <si>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</si>
  <si>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</si>
  <si>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</si>
  <si>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</si>
  <si>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</si>
  <si>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</si>
  <si>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</si>
  <si>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</si>
  <si>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</si>
  <si>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</si>
  <si>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</si>
  <si>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</si>
  <si>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</si>
  <si>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</si>
  <si>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</si>
  <si>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</si>
  <si>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</si>
  <si>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</si>
  <si>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</si>
  <si>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</si>
  <si>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</si>
  <si>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</si>
  <si>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</si>
  <si>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</si>
  <si>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</si>
  <si>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</si>
  <si>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</si>
  <si>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</si>
  <si>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</si>
  <si>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</si>
  <si>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</si>
  <si>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</si>
  <si>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</si>
  <si>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</si>
  <si>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</si>
  <si>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</si>
  <si>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</si>
  <si>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</si>
  <si>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</si>
  <si>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</si>
  <si>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</si>
  <si>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</si>
  <si>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</si>
  <si>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</si>
  <si>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</si>
  <si>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</si>
  <si>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</si>
  <si>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</si>
  <si>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</si>
  <si>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</si>
  <si>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</si>
  <si>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</si>
  <si>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</si>
  <si>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</si>
  <si>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</si>
  <si>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</si>
  <si>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</si>
  <si>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</si>
  <si>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</si>
  <si>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</si>
  <si>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</si>
  <si>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</si>
  <si>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</si>
  <si>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</si>
  <si>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</si>
  <si>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</si>
  <si>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</si>
  <si>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</si>
  <si>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</si>
  <si>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</si>
  <si>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</si>
  <si>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</si>
  <si>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</si>
  <si>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</si>
  <si>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</si>
  <si>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</si>
  <si>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</si>
  <si>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</si>
  <si>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</si>
  <si>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</si>
  <si>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</si>
  <si>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</si>
  <si>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</si>
  <si>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</si>
  <si>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</si>
  <si>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</si>
  <si>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</si>
  <si>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</si>
  <si>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</si>
  <si>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</si>
  <si>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</si>
  <si>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</si>
  <si>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</si>
  <si>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</si>
  <si>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</si>
  <si>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</si>
  <si>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</si>
  <si>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</si>
  <si>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</si>
  <si>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</si>
  <si>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</si>
  <si>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</si>
  <si>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</si>
  <si>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</si>
  <si>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</si>
  <si>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</si>
  <si>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</si>
  <si>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</si>
  <si>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</si>
  <si>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</si>
  <si>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</si>
  <si>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</si>
  <si>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</si>
  <si>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</si>
  <si>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</si>
  <si>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</si>
  <si>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</si>
  <si>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</si>
  <si>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</si>
  <si>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</si>
  <si>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</si>
  <si>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</si>
  <si>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</si>
  <si>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</si>
  <si>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</si>
  <si>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</si>
  <si>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</si>
  <si>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</si>
  <si>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</si>
  <si>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</si>
  <si>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</si>
  <si>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</si>
  <si>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</si>
  <si>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</si>
  <si>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</si>
  <si>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</si>
  <si>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</si>
  <si>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</si>
  <si>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</si>
  <si>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</si>
  <si>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</si>
  <si>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</si>
  <si>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</si>
  <si>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</si>
  <si>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</si>
  <si>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</si>
  <si>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</si>
  <si>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</si>
  <si>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</si>
  <si>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</si>
  <si>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</si>
  <si>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</si>
  <si>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</si>
  <si>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</si>
  <si>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</si>
  <si>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</si>
  <si>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</si>
  <si>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</si>
  <si>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</si>
  <si>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</si>
  <si>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</si>
  <si>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</si>
  <si>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</si>
  <si>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</si>
  <si>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</si>
  <si>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</si>
  <si>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</si>
  <si>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</si>
  <si>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</si>
  <si>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</si>
  <si>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</si>
  <si>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</si>
  <si>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</si>
  <si>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</si>
  <si>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</si>
  <si>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</si>
  <si>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</si>
  <si>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</si>
  <si>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</si>
  <si>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</si>
  <si>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</si>
  <si>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</si>
  <si>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</si>
  <si>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</si>
  <si>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</si>
  <si>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</si>
  <si>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</si>
  <si>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</si>
  <si>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</si>
  <si>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</si>
  <si>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</si>
  <si>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</si>
  <si>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</si>
  <si>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</si>
  <si>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</si>
  <si>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</si>
  <si>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</si>
  <si>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</si>
  <si>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</si>
  <si>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</si>
  <si>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</si>
  <si>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</si>
  <si>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</si>
  <si>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</si>
  <si>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</si>
  <si>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</si>
  <si>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</si>
  <si>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</si>
  <si>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</si>
  <si>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</si>
  <si>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</si>
  <si>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</si>
  <si>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</si>
  <si>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</si>
  <si>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</si>
  <si>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</si>
  <si>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</si>
  <si>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</si>
  <si>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</si>
  <si>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</si>
  <si>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</si>
  <si>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</si>
  <si>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</si>
  <si>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</si>
  <si>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</si>
  <si>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</si>
  <si>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</si>
  <si>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</si>
  <si>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</si>
  <si>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</si>
  <si>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</si>
  <si>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</si>
  <si>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</si>
  <si>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</si>
  <si>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</si>
  <si>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</si>
  <si>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</si>
  <si>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</si>
  <si>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</si>
  <si>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</si>
  <si>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</si>
  <si>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</si>
  <si>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</si>
  <si>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</si>
  <si>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</si>
  <si>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</si>
  <si>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</si>
  <si>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</si>
  <si>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</si>
  <si>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</si>
  <si>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</si>
  <si>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</si>
  <si>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</si>
  <si>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</si>
  <si>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</si>
  <si>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</si>
  <si>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</si>
  <si>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</si>
  <si>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</si>
  <si>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</si>
  <si>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</si>
  <si>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</si>
  <si>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</si>
  <si>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</si>
  <si>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</si>
  <si>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</si>
  <si>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</si>
  <si>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</si>
  <si>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</si>
  <si>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</si>
  <si>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</si>
  <si>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</si>
  <si>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</si>
  <si>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</si>
  <si>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</si>
  <si>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</si>
  <si>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</si>
  <si>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</si>
  <si>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</si>
  <si>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</si>
  <si>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</si>
  <si>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</si>
  <si>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</si>
  <si>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</si>
  <si>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</si>
  <si>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</si>
  <si>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</si>
  <si>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</si>
  <si>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</si>
  <si>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</si>
  <si>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</si>
  <si>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</si>
  <si>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</si>
  <si>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</si>
  <si>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</si>
  <si>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</si>
  <si>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</si>
  <si>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</si>
  <si>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</si>
  <si>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</si>
  <si>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</si>
  <si>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</si>
  <si>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</si>
  <si>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</si>
  <si>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</si>
  <si>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</si>
  <si>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</si>
  <si>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</si>
  <si>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</si>
  <si>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</si>
  <si>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</si>
  <si>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</si>
  <si>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</si>
  <si>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</si>
  <si>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</si>
  <si>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</si>
  <si>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</si>
  <si>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</si>
  <si>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</si>
  <si>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</si>
  <si>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</si>
  <si>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</si>
  <si>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</si>
  <si>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</si>
  <si>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</si>
  <si>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</si>
  <si>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</si>
  <si>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</si>
  <si>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</si>
  <si>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</si>
  <si>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</si>
  <si>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</si>
  <si>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</si>
  <si>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</si>
  <si>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</si>
  <si>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</si>
  <si>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</si>
  <si>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</si>
  <si>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</si>
  <si>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</si>
  <si>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</si>
  <si>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</si>
  <si>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</si>
  <si>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</si>
  <si>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</si>
  <si>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</si>
  <si>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</si>
  <si>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</si>
  <si>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</si>
  <si>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</si>
  <si>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</si>
  <si>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</si>
  <si>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</si>
  <si>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</si>
  <si>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</si>
  <si>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</si>
  <si>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</si>
  <si>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</si>
  <si>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</si>
  <si>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</si>
  <si>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</si>
  <si>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</si>
  <si>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</si>
  <si>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</si>
  <si>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</si>
  <si>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</si>
  <si>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</si>
  <si>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</si>
  <si>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</si>
  <si>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</si>
  <si>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</si>
  <si>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</si>
  <si>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</si>
  <si>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</si>
  <si>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</si>
  <si>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</si>
  <si>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</si>
  <si>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</si>
  <si>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</si>
  <si>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</si>
  <si>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</si>
  <si>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</si>
  <si>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</si>
  <si>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</si>
  <si>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</si>
  <si>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</si>
  <si>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</si>
  <si>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</si>
  <si>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</si>
  <si>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</si>
  <si>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</si>
  <si>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</si>
  <si>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</si>
  <si>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</si>
  <si>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</si>
  <si>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</si>
  <si>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</si>
  <si>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</si>
  <si>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</si>
  <si>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</si>
  <si>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</si>
  <si>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</si>
  <si>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</si>
  <si>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</si>
  <si>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</si>
  <si>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</si>
  <si>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</si>
  <si>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</si>
  <si>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</si>
  <si>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</si>
  <si>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</si>
  <si>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</si>
  <si>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</si>
  <si>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</si>
  <si>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</si>
  <si>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</si>
  <si>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</si>
  <si>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</si>
  <si>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</si>
  <si>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</si>
  <si>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</si>
  <si>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</si>
  <si>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</si>
  <si>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</si>
  <si>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</si>
  <si>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</si>
  <si>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</si>
  <si>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</si>
  <si>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</si>
  <si>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</si>
  <si>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</si>
  <si>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</si>
  <si>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</si>
  <si>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</si>
  <si>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</si>
  <si>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</si>
  <si>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</si>
  <si>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</si>
  <si>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</si>
  <si>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</si>
  <si>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</si>
  <si>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</si>
  <si>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</si>
  <si>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</si>
  <si>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</si>
  <si>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</si>
  <si>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</si>
  <si>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</si>
  <si>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</si>
  <si>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</si>
  <si>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</si>
  <si>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</si>
  <si>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</si>
  <si>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</si>
  <si>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</si>
  <si>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</si>
  <si>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</si>
  <si>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</si>
  <si>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</si>
  <si>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</si>
  <si>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</si>
  <si>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</si>
  <si>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</si>
  <si>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</si>
  <si>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</si>
  <si>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</si>
  <si>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</si>
  <si>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</si>
  <si>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</si>
  <si>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</si>
  <si>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</si>
  <si>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</si>
  <si>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</si>
  <si>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</si>
  <si>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</si>
  <si>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</si>
  <si>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</si>
  <si>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</si>
  <si>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</si>
  <si>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</si>
  <si>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</si>
  <si>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</si>
  <si>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</si>
  <si>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</si>
  <si>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</si>
  <si>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</si>
  <si>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</si>
  <si>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</si>
  <si>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</si>
  <si>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</si>
  <si>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</si>
  <si>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</si>
  <si>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</si>
  <si>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</si>
  <si>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</si>
  <si>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</si>
  <si>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</si>
  <si>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</si>
  <si>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</si>
  <si>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</si>
  <si>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</si>
  <si>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</si>
  <si>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</si>
  <si>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</si>
  <si>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</si>
  <si>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</si>
  <si>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</si>
  <si>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</si>
  <si>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</si>
  <si>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</si>
  <si>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</si>
  <si>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</si>
  <si>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</si>
  <si>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</si>
  <si>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</si>
  <si>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</si>
  <si>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</si>
  <si>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</si>
  <si>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</si>
  <si>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</si>
  <si>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</si>
  <si>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</si>
  <si>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</si>
  <si>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</si>
  <si>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</si>
  <si>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</si>
  <si>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</si>
  <si>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</si>
  <si>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</si>
  <si>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</si>
  <si>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</si>
  <si>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</si>
  <si>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</si>
  <si>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</si>
  <si>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</si>
  <si>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</si>
  <si>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</si>
  <si>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</si>
  <si>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</si>
  <si>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</si>
  <si>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</si>
  <si>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</si>
  <si>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</si>
  <si>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</si>
  <si>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</si>
  <si>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</si>
  <si>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</si>
  <si>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</si>
  <si>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</si>
  <si>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</si>
  <si>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</si>
  <si>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</si>
  <si>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</si>
  <si>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</si>
  <si>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</si>
  <si>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</si>
  <si>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</si>
  <si>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</si>
  <si>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</si>
  <si>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</si>
  <si>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</si>
  <si>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</si>
  <si>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</si>
  <si>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</si>
  <si>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</si>
  <si>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</si>
  <si>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</si>
  <si>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</si>
  <si>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</si>
  <si>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</si>
  <si>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</si>
  <si>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</si>
  <si>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</si>
  <si>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</si>
  <si>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</si>
  <si>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</si>
  <si>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</si>
  <si>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</si>
  <si>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</si>
  <si>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</si>
  <si>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</si>
  <si>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</si>
  <si>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</si>
  <si>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</si>
  <si>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</si>
  <si>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</si>
  <si>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</si>
  <si>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</si>
  <si>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</si>
  <si>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</si>
  <si>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</si>
  <si>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</si>
  <si>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</si>
  <si>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</si>
  <si>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</si>
  <si>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</si>
  <si>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</si>
  <si>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</si>
  <si>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</si>
  <si>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</si>
  <si>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</si>
  <si>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</si>
  <si>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</si>
  <si>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</si>
  <si>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</si>
  <si>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</si>
  <si>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</si>
  <si>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</si>
  <si>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</si>
  <si>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</si>
  <si>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</si>
  <si>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</si>
  <si>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</si>
  <si>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</si>
  <si>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</si>
  <si>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</si>
  <si>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</si>
  <si>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</si>
  <si>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</si>
  <si>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</si>
  <si>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</si>
  <si>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</si>
  <si>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</si>
  <si>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</si>
  <si>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</si>
  <si>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</si>
  <si>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</si>
  <si>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</si>
  <si>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</si>
  <si>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</si>
  <si>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</si>
  <si>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</si>
  <si>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</si>
  <si>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</si>
  <si>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</si>
  <si>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</si>
  <si>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</si>
  <si>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</si>
  <si>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</si>
  <si>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</si>
  <si>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</si>
  <si>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</si>
  <si>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</si>
  <si>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</si>
  <si>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</si>
  <si>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</si>
  <si>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</si>
  <si>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</si>
  <si>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</si>
  <si>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</si>
  <si>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</si>
  <si>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</si>
  <si>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</si>
  <si>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</si>
  <si>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</si>
  <si>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</si>
  <si>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</si>
  <si>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</si>
  <si>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</si>
  <si>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</si>
  <si>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</si>
  <si>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</si>
  <si>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</si>
  <si>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</si>
  <si>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</si>
  <si>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</si>
  <si>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</si>
  <si>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</si>
  <si>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</si>
  <si>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</si>
  <si>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</si>
  <si>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</si>
  <si>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</si>
  <si>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</si>
  <si>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</si>
  <si>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</si>
  <si>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</si>
  <si>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</si>
  <si>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</si>
  <si>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</si>
  <si>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</si>
  <si>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</si>
  <si>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</si>
  <si>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</si>
  <si>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</si>
  <si>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</si>
  <si>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</si>
  <si>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</si>
  <si>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</si>
  <si>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</si>
  <si>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</si>
  <si>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</si>
  <si>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</si>
  <si>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</si>
  <si>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</si>
  <si>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</si>
  <si>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</si>
  <si>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</si>
  <si>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</si>
  <si>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</si>
  <si>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</si>
  <si>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</si>
  <si>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</si>
  <si>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</si>
  <si>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</si>
  <si>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</si>
  <si>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</si>
  <si>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</si>
  <si>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</si>
  <si>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</si>
  <si>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</si>
  <si>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</si>
  <si>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</si>
  <si>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</si>
  <si>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</si>
  <si>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</si>
  <si>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</si>
  <si>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</si>
  <si>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</si>
  <si>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</si>
  <si>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</si>
  <si>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</si>
  <si>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</si>
  <si>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</si>
  <si>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</si>
  <si>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</si>
  <si>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</si>
  <si>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</si>
  <si>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</si>
  <si>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</si>
  <si>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</si>
  <si>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</si>
  <si>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</si>
  <si>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</si>
  <si>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</si>
  <si>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</si>
  <si>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</si>
  <si>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</si>
  <si>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</si>
  <si>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</si>
  <si>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</si>
  <si>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</si>
  <si>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</si>
  <si>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</si>
  <si>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</si>
  <si>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</si>
  <si>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</si>
  <si>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</si>
  <si>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</si>
  <si>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</si>
  <si>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</si>
  <si>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</si>
  <si>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</si>
  <si>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</si>
  <si>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</si>
  <si>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</si>
  <si>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</si>
  <si>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</si>
  <si>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</si>
  <si>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</si>
  <si>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</si>
  <si>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</si>
  <si>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</si>
  <si>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</si>
  <si>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</si>
  <si>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</si>
  <si>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</si>
  <si>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</si>
  <si>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</si>
  <si>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</si>
  <si>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</si>
  <si>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</si>
  <si>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</si>
  <si>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</si>
  <si>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</si>
  <si>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</si>
  <si>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</si>
  <si>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</si>
  <si>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</si>
  <si>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</si>
  <si>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</si>
  <si>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</si>
  <si>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</si>
  <si>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</si>
  <si>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</si>
  <si>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</si>
  <si>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</si>
  <si>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</si>
  <si>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</si>
  <si>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</si>
  <si>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</si>
  <si>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</si>
  <si>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</si>
  <si>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</si>
  <si>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</si>
  <si>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</si>
  <si>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</si>
  <si>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</si>
  <si>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</si>
  <si>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</si>
  <si>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</si>
  <si>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</si>
  <si>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</si>
  <si>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</si>
  <si>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</si>
  <si>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</si>
  <si>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</si>
  <si>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</si>
  <si>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</si>
  <si>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</si>
  <si>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</si>
  <si>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</si>
  <si>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</si>
  <si>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</si>
  <si>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</si>
  <si>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</si>
  <si>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</si>
  <si>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</si>
  <si>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</si>
  <si>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</si>
  <si>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</si>
  <si>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</si>
  <si>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</si>
  <si>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</si>
  <si>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</si>
  <si>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</si>
  <si>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</si>
  <si>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</si>
  <si>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</si>
  <si>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</si>
  <si>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</si>
  <si>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</si>
  <si>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</si>
  <si>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</si>
  <si>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</si>
  <si>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</si>
  <si>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</si>
  <si>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</si>
  <si>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</si>
  <si>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</si>
  <si>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</si>
  <si>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</si>
  <si>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</si>
  <si>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</si>
  <si>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</si>
  <si>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</si>
  <si>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</si>
  <si>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</si>
  <si>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</si>
  <si>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</si>
  <si>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</si>
  <si>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</si>
  <si>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</si>
  <si>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</si>
  <si>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</si>
  <si>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</si>
  <si>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</si>
  <si>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</si>
  <si>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</si>
  <si>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</si>
  <si>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</si>
  <si>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</si>
  <si>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</si>
  <si>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</si>
  <si>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</si>
  <si>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</si>
  <si>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</si>
  <si>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</si>
  <si>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</si>
  <si>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</si>
  <si>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</si>
  <si>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</si>
  <si>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</si>
  <si>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</si>
  <si>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</si>
  <si>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</si>
  <si>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</si>
  <si>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</si>
  <si>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</si>
  <si>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</si>
  <si>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</si>
  <si>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</si>
  <si>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</si>
  <si>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</si>
  <si>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</si>
  <si>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</si>
  <si>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</si>
  <si>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</si>
  <si>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</si>
  <si>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</si>
  <si>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</si>
  <si>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</si>
  <si>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</si>
  <si>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</si>
  <si>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</si>
  <si>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</si>
  <si>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</si>
  <si>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</si>
  <si>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</si>
  <si>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</si>
  <si>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</si>
  <si>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</si>
  <si>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</si>
  <si>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</si>
  <si>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</si>
  <si>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</si>
  <si>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</si>
  <si>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</si>
  <si>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</si>
  <si>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</si>
  <si>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</si>
  <si>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</si>
  <si>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</si>
  <si>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</si>
  <si>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</si>
  <si>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</si>
  <si>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</si>
  <si>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</si>
  <si>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</si>
  <si>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</si>
  <si>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</si>
  <si>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</si>
  <si>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</si>
  <si>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</si>
  <si>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</si>
  <si>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</si>
  <si>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</si>
  <si>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</si>
  <si>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</si>
  <si>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</si>
  <si>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</si>
  <si>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</si>
  <si>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</si>
  <si>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</si>
  <si>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</si>
  <si>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</si>
  <si>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</si>
  <si>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</si>
  <si>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</si>
  <si>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</si>
  <si>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</si>
  <si>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</si>
  <si>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</si>
  <si>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</si>
  <si>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</si>
  <si>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</si>
  <si>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</si>
  <si>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</si>
  <si>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</si>
  <si>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</si>
  <si>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</si>
  <si>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</si>
  <si>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</si>
  <si>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</si>
  <si>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</si>
  <si>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</si>
  <si>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</si>
  <si>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</si>
  <si>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</si>
  <si>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</si>
  <si>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</si>
  <si>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</si>
  <si>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</si>
  <si>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</si>
  <si>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</si>
  <si>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</si>
  <si>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</si>
  <si>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</si>
  <si>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</si>
  <si>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</si>
  <si>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</si>
  <si>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</si>
  <si>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</si>
  <si>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</si>
  <si>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</si>
  <si>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</si>
  <si>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</si>
  <si>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</si>
  <si>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</si>
  <si>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</si>
  <si>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</si>
  <si>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</si>
  <si>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</si>
  <si>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</si>
  <si>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</si>
  <si>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</si>
  <si>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</si>
  <si>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</si>
  <si>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</si>
  <si>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</si>
  <si>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</si>
  <si>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</si>
  <si>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</si>
  <si>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</si>
  <si>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</si>
  <si>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</si>
  <si>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</si>
  <si>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</si>
  <si>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</si>
  <si>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</si>
  <si>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</si>
  <si>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</si>
  <si>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</si>
  <si>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</si>
  <si>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</si>
  <si>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</si>
  <si>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</si>
  <si>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</si>
  <si>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</si>
  <si>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</si>
  <si>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</si>
  <si>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</si>
  <si>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</si>
  <si>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</si>
  <si>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</si>
  <si>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</si>
  <si>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</si>
  <si>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</si>
  <si>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</si>
  <si>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</si>
  <si>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</si>
  <si>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</si>
  <si>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</si>
  <si>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</si>
  <si>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</si>
  <si>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</si>
  <si>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</si>
  <si>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</si>
  <si>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</si>
  <si>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</si>
  <si>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</si>
  <si>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</si>
  <si>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</si>
  <si>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</si>
  <si>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</si>
  <si>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</si>
  <si>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</si>
  <si>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</si>
  <si>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</si>
  <si>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</si>
  <si>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</si>
  <si>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</si>
  <si>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</si>
  <si>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</si>
  <si>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</si>
  <si>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</si>
  <si>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</si>
  <si>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</si>
  <si>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</si>
  <si>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</si>
  <si>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</si>
  <si>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</si>
  <si>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</si>
  <si>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</si>
  <si>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</si>
  <si>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</si>
  <si>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</si>
  <si>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</si>
  <si>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</si>
  <si>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</si>
  <si>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</si>
  <si>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</si>
  <si>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</si>
  <si>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</si>
  <si>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</si>
  <si>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</si>
  <si>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</si>
  <si>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</si>
  <si>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</si>
  <si>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</si>
  <si>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</si>
  <si>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</si>
  <si>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</si>
  <si>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</si>
  <si>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</si>
  <si>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</si>
  <si>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</si>
  <si>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</si>
  <si>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</si>
  <si>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</si>
  <si>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</si>
  <si>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</si>
  <si>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</si>
  <si>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</si>
  <si>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</si>
  <si>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</si>
  <si>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</si>
  <si>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</si>
  <si>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</si>
  <si>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</si>
  <si>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</si>
  <si>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</si>
  <si>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</si>
  <si>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</si>
  <si>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</si>
  <si>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</si>
  <si>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</si>
  <si>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</si>
  <si>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</si>
  <si>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</si>
  <si>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</si>
  <si>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</si>
  <si>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</si>
  <si>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</si>
  <si>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</si>
  <si>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</si>
  <si>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</si>
  <si>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</si>
  <si>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</si>
  <si>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</si>
  <si>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</si>
  <si>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</si>
  <si>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</si>
  <si>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</si>
  <si>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</si>
  <si>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</si>
  <si>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</si>
  <si>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</si>
  <si>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</si>
  <si>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</si>
  <si>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</si>
  <si>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</si>
  <si>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</si>
  <si>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</si>
  <si>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</si>
  <si>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</si>
  <si>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</si>
  <si>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</si>
  <si>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</si>
  <si>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</si>
  <si>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</si>
  <si>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</si>
  <si>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</si>
  <si>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</si>
  <si>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</si>
  <si>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</si>
  <si>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</si>
  <si>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</si>
  <si>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</si>
  <si>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</si>
  <si>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</si>
  <si>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</si>
  <si>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</si>
  <si>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</si>
  <si>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</si>
  <si>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</si>
  <si>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</si>
  <si>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</si>
  <si>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</si>
  <si>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</si>
  <si>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</si>
  <si>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</si>
  <si>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</si>
  <si>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</si>
  <si>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</si>
  <si>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</si>
  <si>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</si>
  <si>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</si>
  <si>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</si>
  <si>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</si>
  <si>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</si>
  <si>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</si>
  <si>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</si>
  <si>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</si>
  <si>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</si>
  <si>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</si>
  <si>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</si>
  <si>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</si>
  <si>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</si>
  <si>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</si>
  <si>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</si>
  <si>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</si>
  <si>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</si>
  <si>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</si>
  <si>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</si>
  <si>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</si>
  <si>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</si>
  <si>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</si>
  <si>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</si>
  <si>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</si>
  <si>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</si>
  <si>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</si>
  <si>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</si>
  <si>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</si>
  <si>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</si>
  <si>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</si>
  <si>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</si>
  <si>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</si>
  <si>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</si>
  <si>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</si>
  <si>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</si>
  <si>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</si>
  <si>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</si>
  <si>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</si>
  <si>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</si>
  <si>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</si>
  <si>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</si>
  <si>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</si>
  <si>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</si>
  <si>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</si>
  <si>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</si>
  <si>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</si>
  <si>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</si>
  <si>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</si>
  <si>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</si>
  <si>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</si>
  <si>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</si>
  <si>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</si>
  <si>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</si>
  <si>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</si>
  <si>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</si>
  <si>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</si>
  <si>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</si>
  <si>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</si>
  <si>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</si>
  <si>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</si>
  <si>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</si>
  <si>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</si>
  <si>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</si>
  <si>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</si>
  <si>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</si>
  <si>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</si>
  <si>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</si>
  <si>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</si>
  <si>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</si>
  <si>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</si>
  <si>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</si>
  <si>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</si>
  <si>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</si>
  <si>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</si>
  <si>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</si>
  <si>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</si>
  <si>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</si>
  <si>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</si>
  <si>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</si>
  <si>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</si>
  <si>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</si>
  <si>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</si>
  <si>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</si>
  <si>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</si>
  <si>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</si>
  <si>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</si>
  <si>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</si>
  <si>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</si>
  <si>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</si>
  <si>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</si>
  <si>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</si>
  <si>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</si>
  <si>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</si>
  <si>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</si>
  <si>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</si>
  <si>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</si>
  <si>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</si>
  <si>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</si>
  <si>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</si>
  <si>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</si>
  <si>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</si>
  <si>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</si>
  <si>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</si>
  <si>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</si>
  <si>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</si>
  <si>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</si>
  <si>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</si>
  <si>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</si>
  <si>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</si>
  <si>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</si>
  <si>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</si>
  <si>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</si>
  <si>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</si>
  <si>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</si>
  <si>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</si>
  <si>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</si>
  <si>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</si>
  <si>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</si>
  <si>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</si>
  <si>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</si>
  <si>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</si>
  <si>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</si>
  <si>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</si>
  <si>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</si>
  <si>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</si>
  <si>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</si>
  <si>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</si>
  <si>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</si>
  <si>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</si>
  <si>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</si>
  <si>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</si>
  <si>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</si>
  <si>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</si>
  <si>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</si>
  <si>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</si>
  <si>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</si>
  <si>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</si>
  <si>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</si>
  <si>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</si>
  <si>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</si>
  <si>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</si>
  <si>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</si>
  <si>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</si>
  <si>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</si>
  <si>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</si>
  <si>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</si>
  <si>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</si>
  <si>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</si>
  <si>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</si>
  <si>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</si>
  <si>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</si>
  <si>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</si>
  <si>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</si>
  <si>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</si>
  <si>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</si>
  <si>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</si>
  <si>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</si>
  <si>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</si>
  <si>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</si>
  <si>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</si>
  <si>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</si>
  <si>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</si>
  <si>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</si>
  <si>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</si>
  <si>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</si>
  <si>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</si>
  <si>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</si>
  <si>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</si>
  <si>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</si>
  <si>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</si>
  <si>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</si>
  <si>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</si>
  <si>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</si>
  <si>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</si>
  <si>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</si>
  <si>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</si>
  <si>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</si>
  <si>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</si>
  <si>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</si>
  <si>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</si>
  <si>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</si>
  <si>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</si>
  <si>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</si>
  <si>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</si>
  <si>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</si>
  <si>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</si>
  <si>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</si>
  <si>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</si>
  <si>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</si>
  <si>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</si>
  <si>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</si>
  <si>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</si>
  <si>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</si>
  <si>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</si>
  <si>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</si>
  <si>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</si>
  <si>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</si>
  <si>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</si>
  <si>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</si>
  <si>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</si>
  <si>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</si>
  <si>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</si>
  <si>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</si>
  <si>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</si>
  <si>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</si>
  <si>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</si>
  <si>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</si>
  <si>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</si>
  <si>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</si>
  <si>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</si>
  <si>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</si>
  <si>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</si>
  <si>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</si>
  <si>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</si>
  <si>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</si>
  <si>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</si>
  <si>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</si>
  <si>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</si>
  <si>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</si>
  <si>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</si>
  <si>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</si>
  <si>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</si>
  <si>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</si>
  <si>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</si>
  <si>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</si>
  <si>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</si>
  <si>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</si>
  <si>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</si>
  <si>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</si>
  <si>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</si>
  <si>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</si>
  <si>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</si>
  <si>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</si>
  <si>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</si>
  <si>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</si>
  <si>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</si>
  <si>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</si>
  <si>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</si>
  <si>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</si>
  <si>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</si>
  <si>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</si>
  <si>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</si>
  <si>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</si>
  <si>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</si>
  <si>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</si>
  <si>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</si>
  <si>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</si>
  <si>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</si>
  <si>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</si>
  <si>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</si>
  <si>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</si>
  <si>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</si>
  <si>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</si>
  <si>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</si>
  <si>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</si>
  <si>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</si>
  <si>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</si>
  <si>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</si>
  <si>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</si>
  <si>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</si>
  <si>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</si>
  <si>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</si>
  <si>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</si>
  <si>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</si>
  <si>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</si>
  <si>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</si>
  <si>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</si>
  <si>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</si>
  <si>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</si>
  <si>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</si>
  <si>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</si>
  <si>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</si>
  <si>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</si>
  <si>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</si>
  <si>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</si>
  <si>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</si>
  <si>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</si>
  <si>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</si>
  <si>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</si>
  <si>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</si>
  <si>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</si>
  <si>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</si>
  <si>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</si>
  <si>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</si>
  <si>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</si>
  <si>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</si>
  <si>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</si>
  <si>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</si>
  <si>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</si>
  <si>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</si>
  <si>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</si>
  <si>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</si>
  <si>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</si>
  <si>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</si>
  <si>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</si>
  <si>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</si>
  <si>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</si>
  <si>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</si>
  <si>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</si>
  <si>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</si>
  <si>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Georgia South</t>
  </si>
  <si>
    <t>1.1.2024</t>
  </si>
  <si>
    <t>SF Detached</t>
  </si>
  <si>
    <t>Electric Heat Pump</t>
  </si>
  <si>
    <t>Monthly Electric Fee</t>
  </si>
  <si>
    <t>2024QD050</t>
  </si>
  <si>
    <t>Stacy Hastie</t>
  </si>
  <si>
    <t>Pateville Estates</t>
  </si>
  <si>
    <t>City Limits</t>
  </si>
  <si>
    <t>Jill Cromartie</t>
  </si>
  <si>
    <t>Acquisition/Rehab</t>
  </si>
  <si>
    <t>4.1.2024</t>
  </si>
  <si>
    <t>Novogradac &amp; Company, LLP</t>
  </si>
  <si>
    <t>40% of Units at 60% of AMI</t>
  </si>
  <si>
    <t>N/a</t>
  </si>
  <si>
    <t>Sterling Bank</t>
  </si>
  <si>
    <t>Affordable Equity Partners, Inc.</t>
  </si>
  <si>
    <t>GP &amp; LP Equity</t>
  </si>
  <si>
    <t>RR Jennings Developer, LLC</t>
  </si>
  <si>
    <t>Amortizing</t>
  </si>
  <si>
    <t>Submitted</t>
  </si>
  <si>
    <t>Please see Tab 24 of the application for the GICH team support letter as well as the City support letter for the issuance of the letter by the GICH team.</t>
  </si>
  <si>
    <t>Cordele-Crisp County</t>
  </si>
  <si>
    <t>Crisp County Primary School</t>
  </si>
  <si>
    <t>Crisp County Elementary School</t>
  </si>
  <si>
    <t>Crisp County Middle School</t>
  </si>
  <si>
    <t>Crisp County High School</t>
  </si>
  <si>
    <t>Crisp Area Rural Transit</t>
  </si>
  <si>
    <t>The property location is in the attendance zone of Crisp County Primary (grades KK - 03), Crisp County Elementary (grades 4 - 5), Crisp County Middle (grades 6 -8) and Crisp County High (grades 9-12). Crisp County Middle school received 2019 BTO designation. Crisp County Primary, Crisp County Middle and Crisp County High all are eligible under DCA's Option C. Total grades covered include KK, 01, 02, 03, 06, 07, 08, 09, 10, 11, 12 (11 grades) and is therefore eligible for 1.5 points.</t>
  </si>
  <si>
    <t>DDA/QCT</t>
  </si>
  <si>
    <t>Physical Needs Assessment to determine rehab work scope based on useful life and immediate needs, as required per DCA requirements.</t>
  </si>
  <si>
    <t>As this is directly related to the rehabilitation of the existing building, it is depreciable and therefore included in eligible basis.</t>
  </si>
  <si>
    <t>Dominum Due Diligence Group</t>
  </si>
  <si>
    <t>Purchase Contract</t>
  </si>
  <si>
    <t>Pateville Residences, LP</t>
  </si>
  <si>
    <t>Georgia Power Company</t>
  </si>
  <si>
    <t>City of Cordele</t>
  </si>
  <si>
    <t>Building</t>
  </si>
  <si>
    <t>Gazebo</t>
  </si>
  <si>
    <t>On-site laundry</t>
  </si>
  <si>
    <t>Substantial Rehab Non-Gutted</t>
  </si>
  <si>
    <t>Newbanks</t>
  </si>
  <si>
    <t xml:space="preserve">The Applicant is proposing the renovation of all 76 units and accessory structures as detailed in the rehab work scope form that addresses all immediate needs identified in the PNA. </t>
  </si>
  <si>
    <t>The CSDP is included in Tab 8 of the application</t>
  </si>
  <si>
    <t>Agree</t>
  </si>
  <si>
    <t>Zeffert &amp; Associates</t>
  </si>
  <si>
    <t>Yes - see Comment</t>
  </si>
  <si>
    <t>sleverett@crispcounty.com</t>
  </si>
  <si>
    <t>https://crispcounty.com/public-transportation</t>
  </si>
  <si>
    <t>Simple Asset Management</t>
  </si>
  <si>
    <t>jcromartie@simpleam.com</t>
  </si>
  <si>
    <t>Consultant</t>
  </si>
  <si>
    <t>Stacy@Environmentalops.com</t>
  </si>
  <si>
    <t>For Profit</t>
  </si>
  <si>
    <t>HUD DCA Georgia South</t>
  </si>
  <si>
    <t>Supportive Services</t>
  </si>
  <si>
    <t xml:space="preserve">The proposed project is feasible, viable and will preserve affordable housing. The construction and development costs were thoroughly underwritten and reviewed by all members of the experienced development team.  </t>
  </si>
  <si>
    <t>The proposed property is currently operating as a Family development. The tenancy will remain Family.</t>
  </si>
  <si>
    <t>The Applicant certifies they will meet all services requirements of the 2024-2025. The proposed acquisition/rehab is not of an existing congregate supportive housing.</t>
  </si>
  <si>
    <t xml:space="preserve">The Applicant has included all required site control documentation in Tab 8 of the application, which includes the purchase contract with evidence of site control through the end of the calendar year of Application Submission, waranty deed of the owner and the legal description. </t>
  </si>
  <si>
    <t>The proposed site is legally accessible by paved roads.</t>
  </si>
  <si>
    <t>The application is a rehabiliation development with no new units being constructed. The current use, 76 single family homes, is allowable under the PD (PUD) - Planned Development zoning classification.</t>
  </si>
  <si>
    <t xml:space="preserve">Not applicable as the application is a rehabilitation development with no new units being constructed. </t>
  </si>
  <si>
    <t>The proposed development is of Family tenancy.The Applicant certifies that they will meet the requirements of the 2024-2025 QAP and will provide the above Standard and Additional Site Amenities.</t>
  </si>
  <si>
    <t>Applicant certifies that, at a minimum, all dwelling units will comply with the requirements of the 2024-2025 QAP.</t>
  </si>
  <si>
    <t xml:space="preserve">Applicant agrees to comply with all accessibility standards and to engage a DCA-qualified third party consultant to monitor the project for accessibility compliance. </t>
  </si>
  <si>
    <t>Applicant certifies they will meet the standards and requiremnts of the 2024-2025 QAP, XVIII. Architectural Design &amp; Quality Standards section and the 2024 Architectural manual.</t>
  </si>
  <si>
    <t>The Certifying Entity did not apply in 2023. The Applicant is adding an Other GP member, Simple Asset Management, LLC to the Partnership. The 2024 Qualification Determination Certifying GP/Developer (RR Jennings Developer, LLC/Stacy Hastie) was deemed Qualified as Probationary - this is the only application for the 2024 competitive round.</t>
  </si>
  <si>
    <t>Applicant will preserve an existing housing tax credit development with 100% of the units restricted under a LURC.</t>
  </si>
  <si>
    <t>The proposed application is eligible for acquisition credits. The required legal opinion has been included in Tab 52 of application.</t>
  </si>
  <si>
    <t xml:space="preserve">There will be no permanent displacement. </t>
  </si>
  <si>
    <t>Applicant agrees to comply with all AFFH requirements under the 2024 QAP.</t>
  </si>
  <si>
    <t>Applicant agrees and certifies that the proposed development will meet all Supportive Housing Requirements outlined in 2024-2025 QAP.</t>
  </si>
  <si>
    <t>Applicant certifies they will meet the requirements of the XXVI. DCA PBRA Agreement section and commits to accept DCA-administered Project-based Rental Assistance for units at the proposed development if funding is available.</t>
  </si>
  <si>
    <t>Applicant believes the proposed application for the acquisition and rehabilitation is an optimal utilization of resources to preserve existing affordable housing and improve the much needed conditions at Pateville Estates - meeting all the goals and policies outlined in the DCA QAP.</t>
  </si>
  <si>
    <t>Applicant commits to meet the requirements and is claiming points under Referrals without Project-based Rental Assistance Contract.</t>
  </si>
  <si>
    <t>Applicant commits to meet all the requirements of the HCV and PHA Notices QAP section and agrees to utilize the PHA waiting list to identify households to fill vacant units.</t>
  </si>
  <si>
    <t xml:space="preserve">The property location is eligible for a total of 25 Desirable Activities points; therefore, the maximum 20 points have been selected in this category. The proposed application is in the rural pool with a site location within one (1) mile from a Place of Worship, Family Dollar, Fire Station, Childcare Service, Restaurant and Elementary School and within 2.5 miles of a Public Park, Pharmacy, Community Center, Medical Care Provider, smaller size Public Park, Public Library, Federally Insured Banking Institution, Post Office, National Big Box General Merchandise Store and Supermarket. </t>
  </si>
  <si>
    <t>Applicant commits to accept resident services coordination from an entity certified as a “3rd Party Resident Services Coordination Contractor” by CORES or other DCA-approved program.</t>
  </si>
  <si>
    <t>XXI. MIXED INCOME DEVELOPMENTS: This section does not apply to preservation applications.</t>
  </si>
  <si>
    <t xml:space="preserve">Please see Tab 8 (Readiness to Proceed) for the Rehab Work Scope completed by the General Contractor. The applicant has carefully reviewed these estimates and verifiyed all immediate needs in the Physical Needs Assessment (also included in Tab 8) have been addressed.
There will be No Impact, Water Tap and Sewer Tap fees as the proposed application is for the rehabilitation of existing multi-family apartments. 
</t>
  </si>
  <si>
    <t>Per the QAP, an appraisal is required for all applications. The appraisal will be provided at the Threshold Application Submission and will meet all requirements of the 2024-2025 QAP.</t>
  </si>
  <si>
    <t>Real Estate tax estimate based off comparable affordable LIHTC properties in Cordele, GA. Per the assesor website, an average valuation of $38,931/unit was determined for these properties. Therefore, the applicant has utilized $40,000/unit or $3,040,000 total value for the real estate tax calculation, which is (Total Value x 40% x 39.063 Millage Rate)/1000 = $47,500. The applicant believes rounding up to $48,000 for the expense budget was an appropriate assumption for the above real estate taxes expense budget. The above insurance expense estimate corresponds to recent quote from the insurance provider.</t>
  </si>
  <si>
    <t>Per the Market Study provided in Tab 8, the average vacancy rate reported by the affordable comparables was only 1.6%. All capure rates are within DCA Thresholds.The existing property has operated with an average occupancy of 97.4% over the past two years.</t>
  </si>
  <si>
    <t>Applicant has included all required documenation for Readiness to Proceed in Tab 8 of the application. The proposed application is preservation of existing affordable housing and is not new construction nor adaptive reuse; therefore, Public Water/Sanitary Sewer and Operating Utiliies are not applicable/required. Although the Site Zoning letter is also not required for the proposed development type - the applicant has provided as in order for the above scoring to auto-populate, "Submitted" must be selected.</t>
  </si>
  <si>
    <t>The QB will be a 20% General Partner owner in the partnership and will received 20% of the Developer Fee, an amount greater thena or eual to its ownershipinterest percentage.. Please see Tab 4 for certifcation form and draft development agreement. The QB is a member of the project team and will be actively engaged in the oversight, management and execution of the property.</t>
  </si>
  <si>
    <t>N/A - the proposed application is for the 9% competitive round</t>
  </si>
  <si>
    <t xml:space="preserve">The proposed application is in the Rural pool. Crisp Area Rural Transit is a publicly operated and sponsered transit service and provides reliable on-call and on-site pickup transit services throughout Crisp County and is availble to all residents at Pateville Estates. </t>
  </si>
  <si>
    <t>Originally placed in service in 2004, Pateville Estates has an average trailing 24 month occupancy of 97.41%. With average occupancy over the trailing 24 months the project is eligible for the maximim 6 points under Section A. Occupancy. Evidence for this is included in tab 25 of the application. With a placed in service date of 2004 the project is eligible for 2 points under Section C. Property Age. Support documentation regarding property age is included in tab 25 of the application. Applicant is claiming points under B. Rent Advantage for the 60% Housing Credit rent limits being at a 25% or greater discount to market rents.</t>
  </si>
  <si>
    <t>Applicant has used the Georgia South utility allowances for Single Family Detached housing.</t>
  </si>
  <si>
    <t>Manager</t>
  </si>
  <si>
    <t>Simple Asset Management,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</si>
</sst>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Hyperlink 2" xfId="36"/>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7"/>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2 2" xfId="38"/>
    <cellStyle name="Percent 3" xfId="29"/>
    <cellStyle name="Percent 4" xfId="35"/>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Pateville Estates</v>
      </c>
    </row>
    <row r="3" spans="1:6" ht="15" customHeight="1">
      <c r="A3" s="654" t="str">
        <f>CONCATENATE('Part I-Project Identification'!F27,", ", 'Part I-Project Identification'!J27," County")</f>
        <v>Cordele, Crisp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Y303"/>
  <sheetViews>
    <sheetView showGridLines="0" topLeftCell="A2" zoomScale="90" zoomScaleNormal="90" workbookViewId="0">
      <selection activeCell="A261" sqref="A26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9" t="str">
        <f>CONCATENATE("PART FOUR - PROJECTED REVENUES &amp; EXPENSES","  -  ",'Part I-Project Identification'!$O$7," ",'Part I-Project Identification'!$F$26,", ",'Part I-Project Identification'!F27,", ",'Part I-Project Identification'!J27," County")</f>
        <v>PART FOUR - PROJECTED REVENUES &amp; EXPENSES  -  2024-0 Pateville Estates, Cordele, Crisp County</v>
      </c>
      <c r="B2" s="3540"/>
      <c r="C2" s="3540"/>
      <c r="D2" s="3540"/>
      <c r="E2" s="3540"/>
      <c r="F2" s="3540"/>
      <c r="G2" s="3540"/>
      <c r="H2" s="3540"/>
      <c r="I2" s="3540"/>
      <c r="J2" s="3540"/>
      <c r="K2" s="3540"/>
      <c r="L2" s="3540"/>
      <c r="M2" s="3540"/>
      <c r="N2" s="3540"/>
      <c r="O2" s="3540"/>
      <c r="P2" s="3540"/>
      <c r="Q2" s="3541"/>
      <c r="T2" s="1363" t="str">
        <f>A2</f>
        <v>PART FOUR - PROJECTED REVENUES &amp; EXPENSES  -  2024-0 Pateville Estates, Cordele, Crisp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42" t="str">
        <f>'Part I-Project Identification'!$O$29</f>
        <v>Crisp Co.</v>
      </c>
      <c r="Q4" s="3542"/>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20" t="s">
        <v>2962</v>
      </c>
      <c r="MG4" s="3520" t="s">
        <v>2963</v>
      </c>
      <c r="MH4" s="3520" t="s">
        <v>2964</v>
      </c>
      <c r="MI4" s="3520" t="s">
        <v>2965</v>
      </c>
      <c r="MJ4" s="3520"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7" t="s">
        <v>3119</v>
      </c>
      <c r="R5" s="817"/>
      <c r="S5" s="336"/>
      <c r="T5" s="336"/>
      <c r="U5" s="336"/>
      <c r="W5" s="337"/>
      <c r="X5" s="3521" t="s">
        <v>3561</v>
      </c>
      <c r="Y5" s="3521" t="s">
        <v>3562</v>
      </c>
      <c r="Z5" s="3521" t="s">
        <v>3563</v>
      </c>
      <c r="AA5" s="3521" t="s">
        <v>3564</v>
      </c>
      <c r="AB5" s="3521" t="s">
        <v>3565</v>
      </c>
      <c r="AC5" s="3521" t="s">
        <v>3566</v>
      </c>
      <c r="AD5" s="3521" t="s">
        <v>3567</v>
      </c>
      <c r="AE5" s="3521" t="s">
        <v>3568</v>
      </c>
      <c r="AF5" s="3521" t="s">
        <v>3569</v>
      </c>
      <c r="AG5" s="3521" t="s">
        <v>3570</v>
      </c>
      <c r="AH5" s="3521" t="s">
        <v>860</v>
      </c>
      <c r="AI5" s="3521" t="s">
        <v>704</v>
      </c>
      <c r="AJ5" s="3521" t="s">
        <v>705</v>
      </c>
      <c r="AK5" s="3521" t="s">
        <v>706</v>
      </c>
      <c r="AL5" s="3521" t="s">
        <v>707</v>
      </c>
      <c r="AM5" s="3521" t="s">
        <v>861</v>
      </c>
      <c r="AN5" s="3521" t="s">
        <v>2125</v>
      </c>
      <c r="AO5" s="3521" t="s">
        <v>2126</v>
      </c>
      <c r="AP5" s="3521" t="s">
        <v>2127</v>
      </c>
      <c r="AQ5" s="3521" t="s">
        <v>2128</v>
      </c>
      <c r="AR5" s="3521" t="s">
        <v>3572</v>
      </c>
      <c r="AS5" s="3521" t="s">
        <v>3573</v>
      </c>
      <c r="AT5" s="3521" t="s">
        <v>3574</v>
      </c>
      <c r="AU5" s="3521" t="s">
        <v>3575</v>
      </c>
      <c r="AV5" s="3521" t="s">
        <v>3571</v>
      </c>
      <c r="AW5" s="3521" t="s">
        <v>862</v>
      </c>
      <c r="AX5" s="3521" t="s">
        <v>2129</v>
      </c>
      <c r="AY5" s="3521" t="s">
        <v>2130</v>
      </c>
      <c r="AZ5" s="3521" t="s">
        <v>2131</v>
      </c>
      <c r="BA5" s="3521" t="s">
        <v>2132</v>
      </c>
      <c r="BB5" s="3521" t="s">
        <v>3576</v>
      </c>
      <c r="BC5" s="3521" t="s">
        <v>3577</v>
      </c>
      <c r="BD5" s="3521" t="s">
        <v>3578</v>
      </c>
      <c r="BE5" s="3521" t="s">
        <v>3579</v>
      </c>
      <c r="BF5" s="3521" t="s">
        <v>3580</v>
      </c>
      <c r="BG5" s="3521" t="s">
        <v>123</v>
      </c>
      <c r="BH5" s="3521" t="s">
        <v>2133</v>
      </c>
      <c r="BI5" s="3521" t="s">
        <v>2134</v>
      </c>
      <c r="BJ5" s="3521" t="s">
        <v>2135</v>
      </c>
      <c r="BK5" s="3521" t="s">
        <v>1079</v>
      </c>
      <c r="BL5" s="3521" t="s">
        <v>3581</v>
      </c>
      <c r="BM5" s="3521" t="s">
        <v>3582</v>
      </c>
      <c r="BN5" s="3521" t="s">
        <v>3583</v>
      </c>
      <c r="BO5" s="3521" t="s">
        <v>3584</v>
      </c>
      <c r="BP5" s="3521" t="s">
        <v>3585</v>
      </c>
      <c r="BQ5" s="3521" t="s">
        <v>516</v>
      </c>
      <c r="BR5" s="3521" t="s">
        <v>517</v>
      </c>
      <c r="BS5" s="3521" t="s">
        <v>534</v>
      </c>
      <c r="BT5" s="3521" t="s">
        <v>535</v>
      </c>
      <c r="BU5" s="3521" t="s">
        <v>536</v>
      </c>
      <c r="BV5" s="3521" t="s">
        <v>3586</v>
      </c>
      <c r="BW5" s="3521" t="s">
        <v>3587</v>
      </c>
      <c r="BX5" s="3521" t="s">
        <v>3588</v>
      </c>
      <c r="BY5" s="3521" t="s">
        <v>3589</v>
      </c>
      <c r="BZ5" s="3521" t="s">
        <v>3590</v>
      </c>
      <c r="CA5" s="3521" t="s">
        <v>537</v>
      </c>
      <c r="CB5" s="3521" t="s">
        <v>538</v>
      </c>
      <c r="CC5" s="3521" t="s">
        <v>539</v>
      </c>
      <c r="CD5" s="3521" t="s">
        <v>540</v>
      </c>
      <c r="CE5" s="3521" t="s">
        <v>541</v>
      </c>
      <c r="CF5" s="3521" t="s">
        <v>542</v>
      </c>
      <c r="CG5" s="3521" t="s">
        <v>543</v>
      </c>
      <c r="CH5" s="3521" t="s">
        <v>871</v>
      </c>
      <c r="CI5" s="3521" t="s">
        <v>872</v>
      </c>
      <c r="CJ5" s="3521" t="s">
        <v>873</v>
      </c>
      <c r="CK5" s="3521" t="s">
        <v>3596</v>
      </c>
      <c r="CL5" s="3521" t="s">
        <v>3597</v>
      </c>
      <c r="CM5" s="3521" t="s">
        <v>3598</v>
      </c>
      <c r="CN5" s="3521" t="s">
        <v>3599</v>
      </c>
      <c r="CO5" s="3521" t="s">
        <v>3600</v>
      </c>
      <c r="CP5" s="3521" t="s">
        <v>3591</v>
      </c>
      <c r="CQ5" s="3521" t="s">
        <v>3592</v>
      </c>
      <c r="CR5" s="3521" t="s">
        <v>3593</v>
      </c>
      <c r="CS5" s="3521" t="s">
        <v>3594</v>
      </c>
      <c r="CT5" s="3521" t="s">
        <v>3595</v>
      </c>
      <c r="CU5" s="3521" t="s">
        <v>3601</v>
      </c>
      <c r="CV5" s="3521" t="s">
        <v>3602</v>
      </c>
      <c r="CW5" s="3521" t="s">
        <v>3603</v>
      </c>
      <c r="CX5" s="3521" t="s">
        <v>3604</v>
      </c>
      <c r="CY5" s="3521" t="s">
        <v>3605</v>
      </c>
      <c r="CZ5" s="3521" t="s">
        <v>465</v>
      </c>
      <c r="DA5" s="3521" t="s">
        <v>466</v>
      </c>
      <c r="DB5" s="3521" t="s">
        <v>467</v>
      </c>
      <c r="DC5" s="3521" t="s">
        <v>468</v>
      </c>
      <c r="DD5" s="3521" t="s">
        <v>469</v>
      </c>
      <c r="DE5" s="3521" t="s">
        <v>3606</v>
      </c>
      <c r="DF5" s="3521" t="s">
        <v>3607</v>
      </c>
      <c r="DG5" s="3521" t="s">
        <v>3608</v>
      </c>
      <c r="DH5" s="3521" t="s">
        <v>3609</v>
      </c>
      <c r="DI5" s="3521" t="s">
        <v>3610</v>
      </c>
      <c r="DJ5" s="3521" t="s">
        <v>821</v>
      </c>
      <c r="DK5" s="3521" t="s">
        <v>822</v>
      </c>
      <c r="DL5" s="3521" t="s">
        <v>823</v>
      </c>
      <c r="DM5" s="3521" t="s">
        <v>824</v>
      </c>
      <c r="DN5" s="3521" t="s">
        <v>825</v>
      </c>
      <c r="DO5" s="3521" t="s">
        <v>826</v>
      </c>
      <c r="DP5" s="3521" t="s">
        <v>827</v>
      </c>
      <c r="DQ5" s="3521" t="s">
        <v>828</v>
      </c>
      <c r="DR5" s="3521" t="s">
        <v>829</v>
      </c>
      <c r="DS5" s="3521" t="s">
        <v>830</v>
      </c>
      <c r="DT5" s="3521" t="s">
        <v>3611</v>
      </c>
      <c r="DU5" s="3521" t="s">
        <v>3612</v>
      </c>
      <c r="DV5" s="3521" t="s">
        <v>3613</v>
      </c>
      <c r="DW5" s="3521" t="s">
        <v>3614</v>
      </c>
      <c r="DX5" s="3521" t="s">
        <v>3615</v>
      </c>
      <c r="DY5" s="3521" t="s">
        <v>3616</v>
      </c>
      <c r="DZ5" s="3521" t="s">
        <v>3617</v>
      </c>
      <c r="EA5" s="3521" t="s">
        <v>3618</v>
      </c>
      <c r="EB5" s="3521" t="s">
        <v>3619</v>
      </c>
      <c r="EC5" s="3521" t="s">
        <v>3620</v>
      </c>
      <c r="ED5" s="3521" t="s">
        <v>2229</v>
      </c>
      <c r="EE5" s="3521" t="s">
        <v>2230</v>
      </c>
      <c r="EF5" s="3521" t="s">
        <v>2231</v>
      </c>
      <c r="EG5" s="3521" t="s">
        <v>2232</v>
      </c>
      <c r="EH5" s="3521" t="s">
        <v>2233</v>
      </c>
      <c r="EI5" s="3521" t="s">
        <v>3621</v>
      </c>
      <c r="EJ5" s="3521" t="s">
        <v>3622</v>
      </c>
      <c r="EK5" s="3521" t="s">
        <v>3623</v>
      </c>
      <c r="EL5" s="3521" t="s">
        <v>3624</v>
      </c>
      <c r="EM5" s="3521" t="s">
        <v>3625</v>
      </c>
      <c r="EN5" s="3521" t="s">
        <v>3626</v>
      </c>
      <c r="EO5" s="3521" t="s">
        <v>3627</v>
      </c>
      <c r="EP5" s="3521" t="s">
        <v>3628</v>
      </c>
      <c r="EQ5" s="3521" t="s">
        <v>3629</v>
      </c>
      <c r="ER5" s="3521" t="s">
        <v>3630</v>
      </c>
      <c r="ES5" s="3521" t="s">
        <v>111</v>
      </c>
      <c r="ET5" s="3521" t="s">
        <v>1082</v>
      </c>
      <c r="EU5" s="3521" t="s">
        <v>1083</v>
      </c>
      <c r="EV5" s="3521" t="s">
        <v>1138</v>
      </c>
      <c r="EW5" s="3521" t="s">
        <v>1139</v>
      </c>
      <c r="EX5" s="3521" t="s">
        <v>126</v>
      </c>
      <c r="EY5" s="3521" t="s">
        <v>1140</v>
      </c>
      <c r="EZ5" s="3521" t="s">
        <v>1141</v>
      </c>
      <c r="FA5" s="3521" t="s">
        <v>1142</v>
      </c>
      <c r="FB5" s="3521" t="s">
        <v>1143</v>
      </c>
      <c r="FC5" s="3521" t="s">
        <v>3631</v>
      </c>
      <c r="FD5" s="3521" t="s">
        <v>3632</v>
      </c>
      <c r="FE5" s="3521" t="s">
        <v>3633</v>
      </c>
      <c r="FF5" s="3521" t="s">
        <v>3634</v>
      </c>
      <c r="FG5" s="3521" t="s">
        <v>3635</v>
      </c>
      <c r="FH5" s="3521" t="s">
        <v>125</v>
      </c>
      <c r="FI5" s="3521" t="s">
        <v>852</v>
      </c>
      <c r="FJ5" s="3521" t="s">
        <v>853</v>
      </c>
      <c r="FK5" s="3521" t="s">
        <v>854</v>
      </c>
      <c r="FL5" s="3521" t="s">
        <v>855</v>
      </c>
      <c r="FM5" s="3521" t="s">
        <v>3636</v>
      </c>
      <c r="FN5" s="3521" t="s">
        <v>3637</v>
      </c>
      <c r="FO5" s="3521" t="s">
        <v>3638</v>
      </c>
      <c r="FP5" s="3521" t="s">
        <v>3639</v>
      </c>
      <c r="FQ5" s="3521" t="s">
        <v>3640</v>
      </c>
      <c r="FR5" s="3521" t="s">
        <v>124</v>
      </c>
      <c r="FS5" s="3521" t="s">
        <v>856</v>
      </c>
      <c r="FT5" s="3521" t="s">
        <v>857</v>
      </c>
      <c r="FU5" s="3521" t="s">
        <v>858</v>
      </c>
      <c r="FV5" s="3521" t="s">
        <v>859</v>
      </c>
      <c r="FW5" s="3521" t="s">
        <v>751</v>
      </c>
      <c r="FX5" s="3521" t="s">
        <v>752</v>
      </c>
      <c r="FY5" s="3521" t="s">
        <v>753</v>
      </c>
      <c r="FZ5" s="3521" t="s">
        <v>754</v>
      </c>
      <c r="GA5" s="3521" t="s">
        <v>755</v>
      </c>
      <c r="GB5" s="3521" t="s">
        <v>895</v>
      </c>
      <c r="GC5" s="3521" t="s">
        <v>896</v>
      </c>
      <c r="GD5" s="3521" t="s">
        <v>897</v>
      </c>
      <c r="GE5" s="3521" t="s">
        <v>898</v>
      </c>
      <c r="GF5" s="3521" t="s">
        <v>2228</v>
      </c>
      <c r="GG5" s="3521" t="s">
        <v>1342</v>
      </c>
      <c r="GH5" s="3521" t="s">
        <v>1343</v>
      </c>
      <c r="GI5" s="3521" t="s">
        <v>1344</v>
      </c>
      <c r="GJ5" s="3521" t="s">
        <v>1345</v>
      </c>
      <c r="GK5" s="3521" t="s">
        <v>1346</v>
      </c>
      <c r="GL5" s="3521" t="s">
        <v>410</v>
      </c>
      <c r="GM5" s="3521" t="s">
        <v>411</v>
      </c>
      <c r="GN5" s="3521" t="s">
        <v>412</v>
      </c>
      <c r="GO5" s="3521" t="s">
        <v>413</v>
      </c>
      <c r="GP5" s="3521" t="s">
        <v>414</v>
      </c>
      <c r="GQ5" s="3521" t="s">
        <v>14</v>
      </c>
      <c r="GR5" s="3521" t="s">
        <v>15</v>
      </c>
      <c r="GS5" s="3521" t="s">
        <v>16</v>
      </c>
      <c r="GT5" s="3521" t="s">
        <v>17</v>
      </c>
      <c r="GU5" s="3521" t="s">
        <v>18</v>
      </c>
      <c r="GV5" s="3521" t="s">
        <v>214</v>
      </c>
      <c r="GW5" s="3521" t="s">
        <v>215</v>
      </c>
      <c r="GX5" s="3521" t="s">
        <v>216</v>
      </c>
      <c r="GY5" s="3521" t="s">
        <v>1675</v>
      </c>
      <c r="GZ5" s="3521" t="s">
        <v>1676</v>
      </c>
      <c r="HA5" s="3521" t="s">
        <v>1677</v>
      </c>
      <c r="HB5" s="3521" t="s">
        <v>549</v>
      </c>
      <c r="HC5" s="3521" t="s">
        <v>550</v>
      </c>
      <c r="HD5" s="3521" t="s">
        <v>551</v>
      </c>
      <c r="HE5" s="3521" t="s">
        <v>552</v>
      </c>
      <c r="HF5" s="3521" t="s">
        <v>19</v>
      </c>
      <c r="HG5" s="3521" t="s">
        <v>20</v>
      </c>
      <c r="HH5" s="3521" t="s">
        <v>21</v>
      </c>
      <c r="HI5" s="3521" t="s">
        <v>22</v>
      </c>
      <c r="HJ5" s="3521" t="s">
        <v>23</v>
      </c>
      <c r="HK5" s="3521" t="s">
        <v>464</v>
      </c>
      <c r="HL5" s="3521" t="s">
        <v>406</v>
      </c>
      <c r="HM5" s="3521" t="s">
        <v>407</v>
      </c>
      <c r="HN5" s="3521" t="s">
        <v>408</v>
      </c>
      <c r="HO5" s="3521" t="s">
        <v>409</v>
      </c>
      <c r="HP5" s="3521" t="s">
        <v>2037</v>
      </c>
      <c r="HQ5" s="3521" t="s">
        <v>2038</v>
      </c>
      <c r="HR5" s="3521" t="s">
        <v>2039</v>
      </c>
      <c r="HS5" s="3521" t="s">
        <v>1383</v>
      </c>
      <c r="HT5" s="3521" t="s">
        <v>1384</v>
      </c>
      <c r="HU5" s="3521" t="s">
        <v>24</v>
      </c>
      <c r="HV5" s="3521" t="s">
        <v>25</v>
      </c>
      <c r="HW5" s="3521" t="s">
        <v>26</v>
      </c>
      <c r="HX5" s="3521" t="s">
        <v>27</v>
      </c>
      <c r="HY5" s="3521"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20" t="s">
        <v>1516</v>
      </c>
      <c r="LH5" s="3520" t="s">
        <v>2315</v>
      </c>
      <c r="LI5" s="3520" t="s">
        <v>2316</v>
      </c>
      <c r="LJ5" s="3520" t="s">
        <v>363</v>
      </c>
      <c r="LK5" s="3520" t="s">
        <v>364</v>
      </c>
      <c r="LL5" s="3520" t="s">
        <v>365</v>
      </c>
      <c r="LM5" s="3520" t="s">
        <v>366</v>
      </c>
      <c r="LN5" s="3520" t="s">
        <v>367</v>
      </c>
      <c r="LO5" s="3520" t="s">
        <v>368</v>
      </c>
      <c r="LP5" s="3520" t="s">
        <v>369</v>
      </c>
      <c r="LQ5" s="3520" t="s">
        <v>195</v>
      </c>
      <c r="LR5" s="3520" t="s">
        <v>196</v>
      </c>
      <c r="LS5" s="3520" t="s">
        <v>197</v>
      </c>
      <c r="LT5" s="3520" t="s">
        <v>198</v>
      </c>
      <c r="LU5" s="3520" t="s">
        <v>199</v>
      </c>
      <c r="LV5" s="3520" t="s">
        <v>200</v>
      </c>
      <c r="LW5" s="3520" t="s">
        <v>201</v>
      </c>
      <c r="LX5" s="3520" t="s">
        <v>202</v>
      </c>
      <c r="LY5" s="3520" t="s">
        <v>203</v>
      </c>
      <c r="LZ5" s="3520" t="s">
        <v>204</v>
      </c>
      <c r="MA5" s="3520" t="s">
        <v>205</v>
      </c>
      <c r="MB5" s="3520" t="s">
        <v>206</v>
      </c>
      <c r="MC5" s="3520" t="s">
        <v>207</v>
      </c>
      <c r="MD5" s="3520" t="s">
        <v>208</v>
      </c>
      <c r="ME5" s="3520" t="s">
        <v>209</v>
      </c>
      <c r="MF5" s="3520"/>
      <c r="MG5" s="3520"/>
      <c r="MH5" s="3520"/>
      <c r="MI5" s="3520"/>
      <c r="MJ5" s="352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3" t="str">
        <f>IF(A49&gt;0,"Finish Row!","")</f>
        <v/>
      </c>
      <c r="B6" s="141" t="s">
        <v>3996</v>
      </c>
      <c r="D6" s="1430"/>
      <c r="E6" s="1430"/>
      <c r="F6" s="1430"/>
      <c r="G6" s="1152" t="s">
        <v>194</v>
      </c>
      <c r="H6" s="3534" t="s">
        <v>3998</v>
      </c>
      <c r="I6" s="3535"/>
      <c r="J6" s="3535"/>
      <c r="K6" s="674" t="s">
        <v>3051</v>
      </c>
      <c r="L6" s="3536" t="str">
        <f>'Part I-Project Identification'!$A$6</f>
        <v>2024 May 7</v>
      </c>
      <c r="M6" s="3536"/>
      <c r="N6" s="3536"/>
      <c r="O6" s="1629" t="s">
        <v>3978</v>
      </c>
      <c r="P6" s="1420">
        <v>64700</v>
      </c>
      <c r="Q6" s="3537"/>
      <c r="R6" s="817"/>
      <c r="S6" s="72"/>
      <c r="U6" s="72"/>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521"/>
      <c r="ET6" s="3521"/>
      <c r="EU6" s="3521"/>
      <c r="EV6" s="3521"/>
      <c r="EW6" s="3521"/>
      <c r="EX6" s="3521"/>
      <c r="EY6" s="3521"/>
      <c r="EZ6" s="3521"/>
      <c r="FA6" s="3521"/>
      <c r="FB6" s="3521"/>
      <c r="FC6" s="3521"/>
      <c r="FD6" s="3521"/>
      <c r="FE6" s="3521"/>
      <c r="FF6" s="3521"/>
      <c r="FG6" s="3521"/>
      <c r="FH6" s="3521"/>
      <c r="FI6" s="3521"/>
      <c r="FJ6" s="3521"/>
      <c r="FK6" s="3521"/>
      <c r="FL6" s="3521"/>
      <c r="FM6" s="3521"/>
      <c r="FN6" s="3521"/>
      <c r="FO6" s="3521"/>
      <c r="FP6" s="3521"/>
      <c r="FQ6" s="3521"/>
      <c r="FR6" s="3521"/>
      <c r="FS6" s="3521"/>
      <c r="FT6" s="3521"/>
      <c r="FU6" s="3521"/>
      <c r="FV6" s="3521"/>
      <c r="FW6" s="3521"/>
      <c r="FX6" s="3521"/>
      <c r="FY6" s="3521"/>
      <c r="FZ6" s="3521"/>
      <c r="GA6" s="3521"/>
      <c r="GB6" s="3521"/>
      <c r="GC6" s="3521"/>
      <c r="GD6" s="3521"/>
      <c r="GE6" s="3521"/>
      <c r="GF6" s="3521"/>
      <c r="GG6" s="3521"/>
      <c r="GH6" s="3521"/>
      <c r="GI6" s="3521"/>
      <c r="GJ6" s="3521"/>
      <c r="GK6" s="3521"/>
      <c r="GL6" s="3521"/>
      <c r="GM6" s="3521"/>
      <c r="GN6" s="3521"/>
      <c r="GO6" s="3521"/>
      <c r="GP6" s="3521"/>
      <c r="GQ6" s="3521"/>
      <c r="GR6" s="3521"/>
      <c r="GS6" s="3521"/>
      <c r="GT6" s="3521"/>
      <c r="GU6" s="3521"/>
      <c r="GV6" s="3521"/>
      <c r="GW6" s="3521"/>
      <c r="GX6" s="3521"/>
      <c r="GY6" s="3521"/>
      <c r="GZ6" s="3521"/>
      <c r="HA6" s="3521"/>
      <c r="HB6" s="3521"/>
      <c r="HC6" s="3521"/>
      <c r="HD6" s="3521"/>
      <c r="HE6" s="3521"/>
      <c r="HF6" s="3521"/>
      <c r="HG6" s="3521"/>
      <c r="HH6" s="3521"/>
      <c r="HI6" s="3521"/>
      <c r="HJ6" s="3521"/>
      <c r="HK6" s="3521"/>
      <c r="HL6" s="3521"/>
      <c r="HM6" s="3521"/>
      <c r="HN6" s="3521"/>
      <c r="HO6" s="3521"/>
      <c r="HP6" s="3521"/>
      <c r="HQ6" s="3521"/>
      <c r="HR6" s="3521"/>
      <c r="HS6" s="3521"/>
      <c r="HT6" s="3521"/>
      <c r="HU6" s="3521"/>
      <c r="HV6" s="3521"/>
      <c r="HW6" s="3521"/>
      <c r="HX6" s="3521"/>
      <c r="HY6" s="3521"/>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20"/>
      <c r="LH6" s="3520"/>
      <c r="LI6" s="3520"/>
      <c r="LJ6" s="3520"/>
      <c r="LK6" s="3520"/>
      <c r="LL6" s="3520"/>
      <c r="LM6" s="3520"/>
      <c r="LN6" s="3520"/>
      <c r="LO6" s="3520"/>
      <c r="LP6" s="3520"/>
      <c r="LQ6" s="3520"/>
      <c r="LR6" s="3520"/>
      <c r="LS6" s="3520"/>
      <c r="LT6" s="3520"/>
      <c r="LU6" s="3520"/>
      <c r="LV6" s="3520"/>
      <c r="LW6" s="3520"/>
      <c r="LX6" s="3520"/>
      <c r="LY6" s="3520"/>
      <c r="LZ6" s="3520"/>
      <c r="MA6" s="3520"/>
      <c r="MB6" s="3520"/>
      <c r="MC6" s="3520"/>
      <c r="MD6" s="3520"/>
      <c r="ME6" s="3520"/>
      <c r="MF6" s="3520"/>
      <c r="MG6" s="3520"/>
      <c r="MH6" s="3520"/>
      <c r="MI6" s="3520"/>
      <c r="MJ6" s="3520"/>
      <c r="MK6" s="3564" t="s">
        <v>2957</v>
      </c>
      <c r="ML6" s="3564" t="s">
        <v>2958</v>
      </c>
      <c r="MM6" s="3564" t="s">
        <v>2959</v>
      </c>
      <c r="MN6" s="3564" t="s">
        <v>2960</v>
      </c>
      <c r="MO6" s="3564" t="s">
        <v>2961</v>
      </c>
      <c r="MP6" s="3520" t="s">
        <v>4178</v>
      </c>
      <c r="MQ6" s="3520" t="s">
        <v>4179</v>
      </c>
      <c r="MR6" s="3520" t="s">
        <v>4180</v>
      </c>
      <c r="MS6" s="3520" t="s">
        <v>4181</v>
      </c>
      <c r="MT6" s="3520"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3"/>
      <c r="B7" s="23" t="s">
        <v>3997</v>
      </c>
      <c r="E7" s="4"/>
      <c r="G7" s="1187" t="s">
        <v>2644</v>
      </c>
      <c r="I7" s="3522" t="s">
        <v>3940</v>
      </c>
      <c r="J7" s="674" t="s">
        <v>741</v>
      </c>
      <c r="K7" s="674" t="s">
        <v>3098</v>
      </c>
      <c r="L7" s="3536"/>
      <c r="M7" s="3536"/>
      <c r="N7" s="3536"/>
      <c r="O7" s="1630" t="s">
        <v>3977</v>
      </c>
      <c r="P7" s="1458" t="s">
        <v>5143</v>
      </c>
      <c r="Q7" s="3537"/>
      <c r="R7" s="3524" t="s">
        <v>2450</v>
      </c>
      <c r="S7" s="3524"/>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521"/>
      <c r="ET7" s="3521"/>
      <c r="EU7" s="3521"/>
      <c r="EV7" s="3521"/>
      <c r="EW7" s="3521"/>
      <c r="EX7" s="3521"/>
      <c r="EY7" s="3521"/>
      <c r="EZ7" s="3521"/>
      <c r="FA7" s="3521"/>
      <c r="FB7" s="3521"/>
      <c r="FC7" s="3521"/>
      <c r="FD7" s="3521"/>
      <c r="FE7" s="3521"/>
      <c r="FF7" s="3521"/>
      <c r="FG7" s="3521"/>
      <c r="FH7" s="3521"/>
      <c r="FI7" s="3521"/>
      <c r="FJ7" s="3521"/>
      <c r="FK7" s="3521"/>
      <c r="FL7" s="3521"/>
      <c r="FM7" s="3521"/>
      <c r="FN7" s="3521"/>
      <c r="FO7" s="3521"/>
      <c r="FP7" s="3521"/>
      <c r="FQ7" s="3521"/>
      <c r="FR7" s="3521"/>
      <c r="FS7" s="3521"/>
      <c r="FT7" s="3521"/>
      <c r="FU7" s="3521"/>
      <c r="FV7" s="3521"/>
      <c r="FW7" s="3521"/>
      <c r="FX7" s="3521"/>
      <c r="FY7" s="3521"/>
      <c r="FZ7" s="3521"/>
      <c r="GA7" s="3521"/>
      <c r="GB7" s="3521"/>
      <c r="GC7" s="3521"/>
      <c r="GD7" s="3521"/>
      <c r="GE7" s="3521"/>
      <c r="GF7" s="3521"/>
      <c r="GG7" s="3521"/>
      <c r="GH7" s="3521"/>
      <c r="GI7" s="3521"/>
      <c r="GJ7" s="3521"/>
      <c r="GK7" s="3521"/>
      <c r="GL7" s="3521"/>
      <c r="GM7" s="3521"/>
      <c r="GN7" s="3521"/>
      <c r="GO7" s="3521"/>
      <c r="GP7" s="3521"/>
      <c r="GQ7" s="3521"/>
      <c r="GR7" s="3521"/>
      <c r="GS7" s="3521"/>
      <c r="GT7" s="3521"/>
      <c r="GU7" s="3521"/>
      <c r="GV7" s="3521"/>
      <c r="GW7" s="3521"/>
      <c r="GX7" s="3521"/>
      <c r="GY7" s="3521"/>
      <c r="GZ7" s="3521"/>
      <c r="HA7" s="3521"/>
      <c r="HB7" s="3521"/>
      <c r="HC7" s="3521"/>
      <c r="HD7" s="3521"/>
      <c r="HE7" s="3521"/>
      <c r="HF7" s="3521"/>
      <c r="HG7" s="3521"/>
      <c r="HH7" s="3521"/>
      <c r="HI7" s="3521"/>
      <c r="HJ7" s="3521"/>
      <c r="HK7" s="3521"/>
      <c r="HL7" s="3521"/>
      <c r="HM7" s="3521"/>
      <c r="HN7" s="3521"/>
      <c r="HO7" s="3521"/>
      <c r="HP7" s="3521"/>
      <c r="HQ7" s="3521"/>
      <c r="HR7" s="3521"/>
      <c r="HS7" s="3521"/>
      <c r="HT7" s="3521"/>
      <c r="HU7" s="3521"/>
      <c r="HV7" s="3521"/>
      <c r="HW7" s="3521"/>
      <c r="HX7" s="3521"/>
      <c r="HY7" s="3521"/>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20"/>
      <c r="LH7" s="3520"/>
      <c r="LI7" s="3520"/>
      <c r="LJ7" s="3520"/>
      <c r="LK7" s="3520"/>
      <c r="LL7" s="3520"/>
      <c r="LM7" s="3520"/>
      <c r="LN7" s="3520"/>
      <c r="LO7" s="3520"/>
      <c r="LP7" s="3520"/>
      <c r="LQ7" s="3520"/>
      <c r="LR7" s="3520"/>
      <c r="LS7" s="3520"/>
      <c r="LT7" s="3520"/>
      <c r="LU7" s="3520"/>
      <c r="LV7" s="3520"/>
      <c r="LW7" s="3520"/>
      <c r="LX7" s="3520"/>
      <c r="LY7" s="3520"/>
      <c r="LZ7" s="3520"/>
      <c r="MA7" s="3520"/>
      <c r="MB7" s="3520"/>
      <c r="MC7" s="3520"/>
      <c r="MD7" s="3520"/>
      <c r="ME7" s="3520"/>
      <c r="MF7" s="3520"/>
      <c r="MG7" s="3520"/>
      <c r="MH7" s="3520"/>
      <c r="MI7" s="3520"/>
      <c r="MJ7" s="3520"/>
      <c r="MK7" s="3564"/>
      <c r="ML7" s="3564"/>
      <c r="MM7" s="3564"/>
      <c r="MN7" s="3564"/>
      <c r="MO7" s="3564"/>
      <c r="MP7" s="3520"/>
      <c r="MQ7" s="3520"/>
      <c r="MR7" s="3520"/>
      <c r="MS7" s="3520"/>
      <c r="MT7" s="3520"/>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3"/>
      <c r="B8" s="818" t="s">
        <v>3643</v>
      </c>
      <c r="C8" s="1"/>
      <c r="E8" s="1"/>
      <c r="F8" s="1"/>
      <c r="I8" s="3522"/>
      <c r="J8" s="674" t="s">
        <v>742</v>
      </c>
      <c r="K8" s="674" t="s">
        <v>3099</v>
      </c>
      <c r="L8" s="655"/>
      <c r="M8" s="655"/>
      <c r="N8" s="1628" t="s">
        <v>4377</v>
      </c>
      <c r="O8" s="3525" t="s">
        <v>5144</v>
      </c>
      <c r="P8" s="3526"/>
      <c r="Q8" s="3537"/>
      <c r="R8" s="656"/>
      <c r="S8" s="658" t="s">
        <v>2447</v>
      </c>
      <c r="T8" s="336"/>
      <c r="W8" s="337"/>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521"/>
      <c r="ET8" s="3521"/>
      <c r="EU8" s="3521"/>
      <c r="EV8" s="3521"/>
      <c r="EW8" s="3521"/>
      <c r="EX8" s="3521"/>
      <c r="EY8" s="3521"/>
      <c r="EZ8" s="3521"/>
      <c r="FA8" s="3521"/>
      <c r="FB8" s="3521"/>
      <c r="FC8" s="3521"/>
      <c r="FD8" s="3521"/>
      <c r="FE8" s="3521"/>
      <c r="FF8" s="3521"/>
      <c r="FG8" s="3521"/>
      <c r="FH8" s="3521"/>
      <c r="FI8" s="3521"/>
      <c r="FJ8" s="3521"/>
      <c r="FK8" s="3521"/>
      <c r="FL8" s="3521"/>
      <c r="FM8" s="3521"/>
      <c r="FN8" s="3521"/>
      <c r="FO8" s="3521"/>
      <c r="FP8" s="3521"/>
      <c r="FQ8" s="3521"/>
      <c r="FR8" s="3521"/>
      <c r="FS8" s="3521"/>
      <c r="FT8" s="3521"/>
      <c r="FU8" s="3521"/>
      <c r="FV8" s="3521"/>
      <c r="FW8" s="3521"/>
      <c r="FX8" s="3521"/>
      <c r="FY8" s="3521"/>
      <c r="FZ8" s="3521"/>
      <c r="GA8" s="3521"/>
      <c r="GB8" s="3521"/>
      <c r="GC8" s="3521"/>
      <c r="GD8" s="3521"/>
      <c r="GE8" s="3521"/>
      <c r="GF8" s="3521"/>
      <c r="GG8" s="3521"/>
      <c r="GH8" s="3521"/>
      <c r="GI8" s="3521"/>
      <c r="GJ8" s="3521"/>
      <c r="GK8" s="3521"/>
      <c r="GL8" s="3521"/>
      <c r="GM8" s="3521"/>
      <c r="GN8" s="3521"/>
      <c r="GO8" s="3521"/>
      <c r="GP8" s="3521"/>
      <c r="GQ8" s="3521"/>
      <c r="GR8" s="3521"/>
      <c r="GS8" s="3521"/>
      <c r="GT8" s="3521"/>
      <c r="GU8" s="3521"/>
      <c r="GV8" s="3521"/>
      <c r="GW8" s="3521"/>
      <c r="GX8" s="3521"/>
      <c r="GY8" s="3521"/>
      <c r="GZ8" s="3521"/>
      <c r="HA8" s="3521"/>
      <c r="HB8" s="3521"/>
      <c r="HC8" s="3521"/>
      <c r="HD8" s="3521"/>
      <c r="HE8" s="3521"/>
      <c r="HF8" s="3521"/>
      <c r="HG8" s="3521"/>
      <c r="HH8" s="3521"/>
      <c r="HI8" s="3521"/>
      <c r="HJ8" s="3521"/>
      <c r="HK8" s="3521"/>
      <c r="HL8" s="3521"/>
      <c r="HM8" s="3521"/>
      <c r="HN8" s="3521"/>
      <c r="HO8" s="3521"/>
      <c r="HP8" s="3521"/>
      <c r="HQ8" s="3521"/>
      <c r="HR8" s="3521"/>
      <c r="HS8" s="3521"/>
      <c r="HT8" s="3521"/>
      <c r="HU8" s="3521"/>
      <c r="HV8" s="3521"/>
      <c r="HW8" s="3521"/>
      <c r="HX8" s="3521"/>
      <c r="HY8" s="3521"/>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20"/>
      <c r="LH8" s="3520"/>
      <c r="LI8" s="3520"/>
      <c r="LJ8" s="3520"/>
      <c r="LK8" s="3520"/>
      <c r="LL8" s="3520"/>
      <c r="LM8" s="3520"/>
      <c r="LN8" s="3520"/>
      <c r="LO8" s="3520"/>
      <c r="LP8" s="3520"/>
      <c r="LQ8" s="3520"/>
      <c r="LR8" s="3520"/>
      <c r="LS8" s="3520"/>
      <c r="LT8" s="3520"/>
      <c r="LU8" s="3520"/>
      <c r="LV8" s="3520"/>
      <c r="LW8" s="3520"/>
      <c r="LX8" s="3520"/>
      <c r="LY8" s="3520"/>
      <c r="LZ8" s="3520"/>
      <c r="MA8" s="3520"/>
      <c r="MB8" s="3520"/>
      <c r="MC8" s="3520"/>
      <c r="MD8" s="3520"/>
      <c r="ME8" s="3520"/>
      <c r="MF8" s="3520"/>
      <c r="MG8" s="3520"/>
      <c r="MH8" s="3520"/>
      <c r="MI8" s="3520"/>
      <c r="MJ8" s="3520"/>
      <c r="MK8" s="3564"/>
      <c r="ML8" s="3564"/>
      <c r="MM8" s="3564"/>
      <c r="MN8" s="3564"/>
      <c r="MO8" s="3564"/>
      <c r="MP8" s="3520"/>
      <c r="MQ8" s="3520"/>
      <c r="MR8" s="3520"/>
      <c r="MS8" s="3520"/>
      <c r="MT8" s="3520"/>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3"/>
      <c r="B9" s="1050" t="s">
        <v>3644</v>
      </c>
      <c r="C9" s="674" t="s">
        <v>165</v>
      </c>
      <c r="D9" s="674" t="s">
        <v>509</v>
      </c>
      <c r="E9" s="674" t="s">
        <v>1380</v>
      </c>
      <c r="F9" s="674" t="s">
        <v>1380</v>
      </c>
      <c r="G9" s="3522" t="s">
        <v>3993</v>
      </c>
      <c r="H9" s="817" t="s">
        <v>3217</v>
      </c>
      <c r="I9" s="3522"/>
      <c r="J9" s="3527" t="s">
        <v>3987</v>
      </c>
      <c r="K9" s="674" t="s">
        <v>2211</v>
      </c>
      <c r="L9" s="3529" t="s">
        <v>139</v>
      </c>
      <c r="M9" s="3530"/>
      <c r="N9" s="674" t="s">
        <v>2178</v>
      </c>
      <c r="O9" s="674" t="s">
        <v>4380</v>
      </c>
      <c r="P9" s="3531" t="s">
        <v>4142</v>
      </c>
      <c r="Q9" s="3537"/>
      <c r="R9" s="674" t="s">
        <v>2446</v>
      </c>
      <c r="S9" s="674" t="s">
        <v>2448</v>
      </c>
      <c r="T9" s="338"/>
      <c r="W9" s="339"/>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521"/>
      <c r="ET9" s="3521"/>
      <c r="EU9" s="3521"/>
      <c r="EV9" s="3521"/>
      <c r="EW9" s="3521"/>
      <c r="EX9" s="3521"/>
      <c r="EY9" s="3521"/>
      <c r="EZ9" s="3521"/>
      <c r="FA9" s="3521"/>
      <c r="FB9" s="3521"/>
      <c r="FC9" s="3521"/>
      <c r="FD9" s="3521"/>
      <c r="FE9" s="3521"/>
      <c r="FF9" s="3521"/>
      <c r="FG9" s="3521"/>
      <c r="FH9" s="3521"/>
      <c r="FI9" s="3521"/>
      <c r="FJ9" s="3521"/>
      <c r="FK9" s="3521"/>
      <c r="FL9" s="3521"/>
      <c r="FM9" s="3521"/>
      <c r="FN9" s="3521"/>
      <c r="FO9" s="3521"/>
      <c r="FP9" s="3521"/>
      <c r="FQ9" s="3521"/>
      <c r="FR9" s="3521"/>
      <c r="FS9" s="3521"/>
      <c r="FT9" s="3521"/>
      <c r="FU9" s="3521"/>
      <c r="FV9" s="3521"/>
      <c r="FW9" s="3521"/>
      <c r="FX9" s="3521"/>
      <c r="FY9" s="3521"/>
      <c r="FZ9" s="3521"/>
      <c r="GA9" s="3521"/>
      <c r="GB9" s="3521"/>
      <c r="GC9" s="3521"/>
      <c r="GD9" s="3521"/>
      <c r="GE9" s="3521"/>
      <c r="GF9" s="3521"/>
      <c r="GG9" s="3521"/>
      <c r="GH9" s="3521"/>
      <c r="GI9" s="3521"/>
      <c r="GJ9" s="3521"/>
      <c r="GK9" s="3521"/>
      <c r="GL9" s="3521"/>
      <c r="GM9" s="3521"/>
      <c r="GN9" s="3521"/>
      <c r="GO9" s="3521"/>
      <c r="GP9" s="3521"/>
      <c r="GQ9" s="3521"/>
      <c r="GR9" s="3521"/>
      <c r="GS9" s="3521"/>
      <c r="GT9" s="3521"/>
      <c r="GU9" s="3521"/>
      <c r="GV9" s="3521"/>
      <c r="GW9" s="3521"/>
      <c r="GX9" s="3521"/>
      <c r="GY9" s="3521"/>
      <c r="GZ9" s="3521"/>
      <c r="HA9" s="3521"/>
      <c r="HB9" s="3521"/>
      <c r="HC9" s="3521"/>
      <c r="HD9" s="3521"/>
      <c r="HE9" s="3521"/>
      <c r="HF9" s="3521"/>
      <c r="HG9" s="3521"/>
      <c r="HH9" s="3521"/>
      <c r="HI9" s="3521"/>
      <c r="HJ9" s="3521"/>
      <c r="HK9" s="3521"/>
      <c r="HL9" s="3521"/>
      <c r="HM9" s="3521"/>
      <c r="HN9" s="3521"/>
      <c r="HO9" s="3521"/>
      <c r="HP9" s="3521"/>
      <c r="HQ9" s="3521"/>
      <c r="HR9" s="3521"/>
      <c r="HS9" s="3521"/>
      <c r="HT9" s="3521"/>
      <c r="HU9" s="3521"/>
      <c r="HV9" s="3521"/>
      <c r="HW9" s="3521"/>
      <c r="HX9" s="3521"/>
      <c r="HY9" s="3521"/>
      <c r="HZ9" s="3521" t="s">
        <v>1369</v>
      </c>
      <c r="IA9" s="869" t="s">
        <v>2239</v>
      </c>
      <c r="IB9" s="869" t="s">
        <v>2240</v>
      </c>
      <c r="IC9" s="869" t="s">
        <v>2241</v>
      </c>
      <c r="ID9" s="869" t="s">
        <v>2242</v>
      </c>
      <c r="IE9" s="3521" t="s">
        <v>2293</v>
      </c>
      <c r="IF9" s="3521" t="s">
        <v>2293</v>
      </c>
      <c r="IG9" s="3521" t="s">
        <v>2293</v>
      </c>
      <c r="IH9" s="3521" t="s">
        <v>2293</v>
      </c>
      <c r="II9" s="3521" t="s">
        <v>2293</v>
      </c>
      <c r="IJ9" s="3521" t="s">
        <v>2928</v>
      </c>
      <c r="IK9" s="3521" t="s">
        <v>2928</v>
      </c>
      <c r="IL9" s="3521" t="s">
        <v>2928</v>
      </c>
      <c r="IM9" s="3521" t="s">
        <v>2928</v>
      </c>
      <c r="IN9" s="3521" t="s">
        <v>2928</v>
      </c>
      <c r="IO9" s="869" t="s">
        <v>525</v>
      </c>
      <c r="IP9" s="869" t="s">
        <v>2239</v>
      </c>
      <c r="IQ9" s="869" t="s">
        <v>2240</v>
      </c>
      <c r="IR9" s="869" t="s">
        <v>2241</v>
      </c>
      <c r="IS9" s="869" t="s">
        <v>2242</v>
      </c>
      <c r="IT9" s="869" t="s">
        <v>525</v>
      </c>
      <c r="IU9" s="869" t="s">
        <v>2239</v>
      </c>
      <c r="IV9" s="869" t="s">
        <v>2240</v>
      </c>
      <c r="IW9" s="869" t="s">
        <v>2241</v>
      </c>
      <c r="IX9" s="869" t="s">
        <v>2242</v>
      </c>
      <c r="IY9" s="3521" t="s">
        <v>4183</v>
      </c>
      <c r="IZ9" s="3521" t="s">
        <v>4183</v>
      </c>
      <c r="JA9" s="3521" t="s">
        <v>4183</v>
      </c>
      <c r="JB9" s="3521" t="s">
        <v>4183</v>
      </c>
      <c r="JC9" s="3521" t="s">
        <v>4183</v>
      </c>
      <c r="JD9" s="3521" t="s">
        <v>4184</v>
      </c>
      <c r="JE9" s="3521" t="s">
        <v>4184</v>
      </c>
      <c r="JF9" s="3521" t="s">
        <v>4184</v>
      </c>
      <c r="JG9" s="3521" t="s">
        <v>4184</v>
      </c>
      <c r="JH9" s="3521" t="s">
        <v>4184</v>
      </c>
      <c r="JI9" s="3521" t="s">
        <v>4186</v>
      </c>
      <c r="JJ9" s="3521" t="s">
        <v>4186</v>
      </c>
      <c r="JK9" s="3521" t="s">
        <v>4186</v>
      </c>
      <c r="JL9" s="3521" t="s">
        <v>4186</v>
      </c>
      <c r="JM9" s="3521" t="s">
        <v>4186</v>
      </c>
      <c r="JN9" s="3521" t="s">
        <v>4187</v>
      </c>
      <c r="JO9" s="3521" t="s">
        <v>4187</v>
      </c>
      <c r="JP9" s="3521" t="s">
        <v>4187</v>
      </c>
      <c r="JQ9" s="3521" t="s">
        <v>4187</v>
      </c>
      <c r="JR9" s="3521" t="s">
        <v>4187</v>
      </c>
      <c r="JS9" s="3521" t="s">
        <v>4188</v>
      </c>
      <c r="JT9" s="3521" t="s">
        <v>4188</v>
      </c>
      <c r="JU9" s="3521" t="s">
        <v>4188</v>
      </c>
      <c r="JV9" s="3521" t="s">
        <v>4188</v>
      </c>
      <c r="JW9" s="3521" t="s">
        <v>4188</v>
      </c>
      <c r="JX9" s="3521" t="s">
        <v>4381</v>
      </c>
      <c r="JY9" s="3521" t="s">
        <v>4381</v>
      </c>
      <c r="JZ9" s="3521" t="s">
        <v>4381</v>
      </c>
      <c r="KA9" s="3521" t="s">
        <v>4381</v>
      </c>
      <c r="KB9" s="3521" t="s">
        <v>4381</v>
      </c>
      <c r="KC9" s="3521" t="s">
        <v>4833</v>
      </c>
      <c r="KD9" s="3521" t="s">
        <v>4833</v>
      </c>
      <c r="KE9" s="3521" t="s">
        <v>4833</v>
      </c>
      <c r="KF9" s="3521" t="s">
        <v>4833</v>
      </c>
      <c r="KG9" s="3521" t="s">
        <v>4833</v>
      </c>
      <c r="KH9" s="3521" t="s">
        <v>4834</v>
      </c>
      <c r="KI9" s="3520" t="s">
        <v>4544</v>
      </c>
      <c r="KJ9" s="3520" t="s">
        <v>4544</v>
      </c>
      <c r="KK9" s="3520" t="s">
        <v>4544</v>
      </c>
      <c r="KL9" s="3520" t="s">
        <v>4544</v>
      </c>
      <c r="KM9" s="3520" t="s">
        <v>4190</v>
      </c>
      <c r="KN9" s="3520" t="s">
        <v>4190</v>
      </c>
      <c r="KO9" s="3520" t="s">
        <v>4190</v>
      </c>
      <c r="KP9" s="3520" t="s">
        <v>4190</v>
      </c>
      <c r="KQ9" s="3520" t="s">
        <v>4190</v>
      </c>
      <c r="KR9" s="3520" t="s">
        <v>4382</v>
      </c>
      <c r="KS9" s="3520" t="s">
        <v>4382</v>
      </c>
      <c r="KT9" s="3520" t="s">
        <v>4382</v>
      </c>
      <c r="KU9" s="3520" t="s">
        <v>4382</v>
      </c>
      <c r="KV9" s="3520" t="s">
        <v>4382</v>
      </c>
      <c r="KW9" s="3520" t="s">
        <v>4545</v>
      </c>
      <c r="KX9" s="3520" t="s">
        <v>4545</v>
      </c>
      <c r="KY9" s="3520" t="s">
        <v>4545</v>
      </c>
      <c r="KZ9" s="3520" t="s">
        <v>4545</v>
      </c>
      <c r="LA9" s="3520" t="s">
        <v>4545</v>
      </c>
      <c r="LB9" s="3520" t="s">
        <v>4546</v>
      </c>
      <c r="LC9" s="3520" t="s">
        <v>4546</v>
      </c>
      <c r="LD9" s="3520" t="s">
        <v>4546</v>
      </c>
      <c r="LE9" s="3520" t="s">
        <v>4546</v>
      </c>
      <c r="LF9" s="3520" t="s">
        <v>4546</v>
      </c>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64"/>
      <c r="ML9" s="3564"/>
      <c r="MM9" s="3564"/>
      <c r="MN9" s="3564"/>
      <c r="MO9" s="3564"/>
      <c r="MP9" s="3520"/>
      <c r="MQ9" s="3520"/>
      <c r="MR9" s="3520"/>
      <c r="MS9" s="3520"/>
      <c r="MT9" s="3520"/>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3"/>
      <c r="B10" s="1201" t="s">
        <v>3807</v>
      </c>
      <c r="C10" s="674" t="s">
        <v>164</v>
      </c>
      <c r="D10" s="674" t="s">
        <v>166</v>
      </c>
      <c r="E10" s="674" t="s">
        <v>1381</v>
      </c>
      <c r="F10" s="674" t="s">
        <v>1201</v>
      </c>
      <c r="G10" s="3523"/>
      <c r="H10" s="674" t="s">
        <v>3994</v>
      </c>
      <c r="I10" s="3523"/>
      <c r="J10" s="3528"/>
      <c r="K10" s="357" t="s">
        <v>334</v>
      </c>
      <c r="L10" s="674" t="s">
        <v>1430</v>
      </c>
      <c r="M10" s="674" t="s">
        <v>503</v>
      </c>
      <c r="N10" s="674" t="s">
        <v>1380</v>
      </c>
      <c r="O10" s="674" t="s">
        <v>4394</v>
      </c>
      <c r="P10" s="3532"/>
      <c r="Q10" s="3538"/>
      <c r="R10" s="674" t="s">
        <v>1382</v>
      </c>
      <c r="S10" s="674" t="s">
        <v>2449</v>
      </c>
      <c r="T10" s="10" t="s">
        <v>1706</v>
      </c>
      <c r="W10" s="10"/>
      <c r="X10" s="3521"/>
      <c r="Y10" s="3521"/>
      <c r="Z10" s="3521"/>
      <c r="AA10" s="3521"/>
      <c r="AB10" s="3521"/>
      <c r="AC10" s="3521"/>
      <c r="AD10" s="3521"/>
      <c r="AE10" s="3521"/>
      <c r="AF10" s="3521"/>
      <c r="AG10" s="3521"/>
      <c r="AH10" s="3521"/>
      <c r="AI10" s="3521"/>
      <c r="AJ10" s="3521"/>
      <c r="AK10" s="3521"/>
      <c r="AL10" s="3521"/>
      <c r="AM10" s="3521"/>
      <c r="AN10" s="3521"/>
      <c r="AO10" s="3521"/>
      <c r="AP10" s="3521"/>
      <c r="AQ10" s="3521"/>
      <c r="AR10" s="3521"/>
      <c r="AS10" s="3521"/>
      <c r="AT10" s="3521"/>
      <c r="AU10" s="3521"/>
      <c r="AV10" s="3521"/>
      <c r="AW10" s="3521"/>
      <c r="AX10" s="3521"/>
      <c r="AY10" s="3521"/>
      <c r="AZ10" s="3521"/>
      <c r="BA10" s="3521"/>
      <c r="BB10" s="3521"/>
      <c r="BC10" s="3521"/>
      <c r="BD10" s="3521"/>
      <c r="BE10" s="3521"/>
      <c r="BF10" s="3521"/>
      <c r="BG10" s="3521"/>
      <c r="BH10" s="3521"/>
      <c r="BI10" s="3521"/>
      <c r="BJ10" s="3521"/>
      <c r="BK10" s="3521"/>
      <c r="BL10" s="3521"/>
      <c r="BM10" s="3521"/>
      <c r="BN10" s="3521"/>
      <c r="BO10" s="3521"/>
      <c r="BP10" s="3521"/>
      <c r="BQ10" s="3521"/>
      <c r="BR10" s="3521"/>
      <c r="BS10" s="3521"/>
      <c r="BT10" s="3521"/>
      <c r="BU10" s="3521"/>
      <c r="BV10" s="3521"/>
      <c r="BW10" s="3521"/>
      <c r="BX10" s="3521"/>
      <c r="BY10" s="3521"/>
      <c r="BZ10" s="3521"/>
      <c r="CA10" s="3521"/>
      <c r="CB10" s="3521"/>
      <c r="CC10" s="3521"/>
      <c r="CD10" s="3521"/>
      <c r="CE10" s="3521"/>
      <c r="CF10" s="3521"/>
      <c r="CG10" s="3521"/>
      <c r="CH10" s="3521"/>
      <c r="CI10" s="3521"/>
      <c r="CJ10" s="3521"/>
      <c r="CK10" s="3521"/>
      <c r="CL10" s="3521"/>
      <c r="CM10" s="3521"/>
      <c r="CN10" s="3521"/>
      <c r="CO10" s="3521"/>
      <c r="CP10" s="3521"/>
      <c r="CQ10" s="3521"/>
      <c r="CR10" s="3521"/>
      <c r="CS10" s="3521"/>
      <c r="CT10" s="3521"/>
      <c r="CU10" s="3521"/>
      <c r="CV10" s="3521"/>
      <c r="CW10" s="3521"/>
      <c r="CX10" s="3521"/>
      <c r="CY10" s="3521"/>
      <c r="CZ10" s="3521"/>
      <c r="DA10" s="3521"/>
      <c r="DB10" s="3521"/>
      <c r="DC10" s="3521"/>
      <c r="DD10" s="3521"/>
      <c r="DE10" s="3521"/>
      <c r="DF10" s="3521"/>
      <c r="DG10" s="3521"/>
      <c r="DH10" s="3521"/>
      <c r="DI10" s="3521"/>
      <c r="DJ10" s="3521"/>
      <c r="DK10" s="3521"/>
      <c r="DL10" s="3521"/>
      <c r="DM10" s="3521"/>
      <c r="DN10" s="3521"/>
      <c r="DO10" s="3521"/>
      <c r="DP10" s="3521"/>
      <c r="DQ10" s="3521"/>
      <c r="DR10" s="3521"/>
      <c r="DS10" s="3521"/>
      <c r="DT10" s="3521"/>
      <c r="DU10" s="3521"/>
      <c r="DV10" s="3521"/>
      <c r="DW10" s="3521"/>
      <c r="DX10" s="3521"/>
      <c r="DY10" s="3521"/>
      <c r="DZ10" s="3521"/>
      <c r="EA10" s="3521"/>
      <c r="EB10" s="3521"/>
      <c r="EC10" s="3521"/>
      <c r="ED10" s="3521"/>
      <c r="EE10" s="3521"/>
      <c r="EF10" s="3521"/>
      <c r="EG10" s="3521"/>
      <c r="EH10" s="3521"/>
      <c r="EI10" s="3521"/>
      <c r="EJ10" s="3521"/>
      <c r="EK10" s="3521"/>
      <c r="EL10" s="3521"/>
      <c r="EM10" s="3521"/>
      <c r="EN10" s="3521"/>
      <c r="EO10" s="3521"/>
      <c r="EP10" s="3521"/>
      <c r="EQ10" s="3521"/>
      <c r="ER10" s="3521"/>
      <c r="ES10" s="3521"/>
      <c r="ET10" s="3521"/>
      <c r="EU10" s="3521"/>
      <c r="EV10" s="3521"/>
      <c r="EW10" s="3521"/>
      <c r="EX10" s="3521"/>
      <c r="EY10" s="3521"/>
      <c r="EZ10" s="3521"/>
      <c r="FA10" s="3521"/>
      <c r="FB10" s="3521"/>
      <c r="FC10" s="3521"/>
      <c r="FD10" s="3521"/>
      <c r="FE10" s="3521"/>
      <c r="FF10" s="3521"/>
      <c r="FG10" s="3521"/>
      <c r="FH10" s="3521"/>
      <c r="FI10" s="3521"/>
      <c r="FJ10" s="3521"/>
      <c r="FK10" s="3521"/>
      <c r="FL10" s="3521"/>
      <c r="FM10" s="3521"/>
      <c r="FN10" s="3521"/>
      <c r="FO10" s="3521"/>
      <c r="FP10" s="3521"/>
      <c r="FQ10" s="3521"/>
      <c r="FR10" s="3521"/>
      <c r="FS10" s="3521"/>
      <c r="FT10" s="3521"/>
      <c r="FU10" s="3521"/>
      <c r="FV10" s="3521"/>
      <c r="FW10" s="3521"/>
      <c r="FX10" s="3521"/>
      <c r="FY10" s="3521"/>
      <c r="FZ10" s="3521"/>
      <c r="GA10" s="3521"/>
      <c r="GB10" s="3521"/>
      <c r="GC10" s="3521"/>
      <c r="GD10" s="3521"/>
      <c r="GE10" s="3521"/>
      <c r="GF10" s="3521"/>
      <c r="GG10" s="3521"/>
      <c r="GH10" s="3521"/>
      <c r="GI10" s="3521"/>
      <c r="GJ10" s="3521"/>
      <c r="GK10" s="3521"/>
      <c r="GL10" s="3521"/>
      <c r="GM10" s="3521"/>
      <c r="GN10" s="3521"/>
      <c r="GO10" s="3521"/>
      <c r="GP10" s="3521"/>
      <c r="GQ10" s="3521"/>
      <c r="GR10" s="3521"/>
      <c r="GS10" s="3521"/>
      <c r="GT10" s="3521"/>
      <c r="GU10" s="3521"/>
      <c r="GV10" s="3521"/>
      <c r="GW10" s="3521"/>
      <c r="GX10" s="3521"/>
      <c r="GY10" s="3521"/>
      <c r="GZ10" s="3521"/>
      <c r="HA10" s="3521"/>
      <c r="HB10" s="3521"/>
      <c r="HC10" s="3521"/>
      <c r="HD10" s="3521"/>
      <c r="HE10" s="3521"/>
      <c r="HF10" s="3521"/>
      <c r="HG10" s="3521"/>
      <c r="HH10" s="3521"/>
      <c r="HI10" s="3521"/>
      <c r="HJ10" s="3521"/>
      <c r="HK10" s="3521"/>
      <c r="HL10" s="3521"/>
      <c r="HM10" s="3521"/>
      <c r="HN10" s="3521"/>
      <c r="HO10" s="3521"/>
      <c r="HP10" s="3521"/>
      <c r="HQ10" s="3521"/>
      <c r="HR10" s="3521"/>
      <c r="HS10" s="3521"/>
      <c r="HT10" s="3521"/>
      <c r="HU10" s="3521"/>
      <c r="HV10" s="3521"/>
      <c r="HW10" s="3521"/>
      <c r="HX10" s="3521"/>
      <c r="HY10" s="3521"/>
      <c r="HZ10" s="3521"/>
      <c r="IA10" s="869" t="s">
        <v>2292</v>
      </c>
      <c r="IB10" s="869" t="s">
        <v>2292</v>
      </c>
      <c r="IC10" s="869" t="s">
        <v>2292</v>
      </c>
      <c r="ID10" s="869" t="s">
        <v>2292</v>
      </c>
      <c r="IE10" s="3521"/>
      <c r="IF10" s="3521"/>
      <c r="IG10" s="3521"/>
      <c r="IH10" s="3521"/>
      <c r="II10" s="3521"/>
      <c r="IJ10" s="3521"/>
      <c r="IK10" s="3521"/>
      <c r="IL10" s="3521"/>
      <c r="IM10" s="3521"/>
      <c r="IN10" s="3521"/>
      <c r="IO10" s="869" t="s">
        <v>2294</v>
      </c>
      <c r="IP10" s="869" t="s">
        <v>2294</v>
      </c>
      <c r="IQ10" s="869" t="s">
        <v>2294</v>
      </c>
      <c r="IR10" s="869" t="s">
        <v>2294</v>
      </c>
      <c r="IS10" s="869" t="s">
        <v>2294</v>
      </c>
      <c r="IT10" s="869" t="s">
        <v>2929</v>
      </c>
      <c r="IU10" s="869" t="s">
        <v>2929</v>
      </c>
      <c r="IV10" s="869" t="s">
        <v>2929</v>
      </c>
      <c r="IW10" s="869" t="s">
        <v>2929</v>
      </c>
      <c r="IX10" s="869" t="s">
        <v>2929</v>
      </c>
      <c r="IY10" s="3521"/>
      <c r="IZ10" s="3521"/>
      <c r="JA10" s="3521"/>
      <c r="JB10" s="3521"/>
      <c r="JC10" s="3521"/>
      <c r="JD10" s="3521"/>
      <c r="JE10" s="3521"/>
      <c r="JF10" s="3521"/>
      <c r="JG10" s="3521"/>
      <c r="JH10" s="3521"/>
      <c r="JI10" s="3521"/>
      <c r="JJ10" s="3521"/>
      <c r="JK10" s="3521"/>
      <c r="JL10" s="3521"/>
      <c r="JM10" s="3521"/>
      <c r="JN10" s="3521"/>
      <c r="JO10" s="3521"/>
      <c r="JP10" s="3521"/>
      <c r="JQ10" s="3521"/>
      <c r="JR10" s="3521"/>
      <c r="JS10" s="3521"/>
      <c r="JT10" s="3521"/>
      <c r="JU10" s="3521"/>
      <c r="JV10" s="3521"/>
      <c r="JW10" s="3521"/>
      <c r="JX10" s="3521"/>
      <c r="JY10" s="3521"/>
      <c r="JZ10" s="3521"/>
      <c r="KA10" s="3521"/>
      <c r="KB10" s="3521"/>
      <c r="KC10" s="3521"/>
      <c r="KD10" s="3521"/>
      <c r="KE10" s="3521"/>
      <c r="KF10" s="3521"/>
      <c r="KG10" s="3521"/>
      <c r="KH10" s="3521"/>
      <c r="KI10" s="3520"/>
      <c r="KJ10" s="3520"/>
      <c r="KK10" s="3520"/>
      <c r="KL10" s="3520"/>
      <c r="KM10" s="3520"/>
      <c r="KN10" s="3520"/>
      <c r="KO10" s="3520"/>
      <c r="KP10" s="3520"/>
      <c r="KQ10" s="3520"/>
      <c r="KR10" s="3520"/>
      <c r="KS10" s="3520"/>
      <c r="KT10" s="3520"/>
      <c r="KU10" s="3520"/>
      <c r="KV10" s="3520"/>
      <c r="KW10" s="3520"/>
      <c r="KX10" s="3520"/>
      <c r="KY10" s="3520"/>
      <c r="KZ10" s="3520"/>
      <c r="LA10" s="3520"/>
      <c r="LB10" s="3520"/>
      <c r="LC10" s="3520"/>
      <c r="LD10" s="3520"/>
      <c r="LE10" s="3520"/>
      <c r="LF10" s="3520"/>
      <c r="LG10" s="3520"/>
      <c r="LH10" s="3520"/>
      <c r="LI10" s="3520"/>
      <c r="LJ10" s="3520"/>
      <c r="LK10" s="3520"/>
      <c r="LL10" s="3520"/>
      <c r="LM10" s="3520"/>
      <c r="LN10" s="3520"/>
      <c r="LO10" s="3520"/>
      <c r="LP10" s="3520"/>
      <c r="LQ10" s="3520"/>
      <c r="LR10" s="3520"/>
      <c r="LS10" s="3520"/>
      <c r="LT10" s="3520"/>
      <c r="LU10" s="3520"/>
      <c r="LV10" s="3520"/>
      <c r="LW10" s="3520"/>
      <c r="LX10" s="3520"/>
      <c r="LY10" s="3520"/>
      <c r="LZ10" s="3520"/>
      <c r="MA10" s="3520"/>
      <c r="MB10" s="3520"/>
      <c r="MC10" s="3520"/>
      <c r="MD10" s="3520"/>
      <c r="ME10" s="3520"/>
      <c r="MF10" s="3520"/>
      <c r="MG10" s="3520"/>
      <c r="MH10" s="3520"/>
      <c r="MI10" s="3520"/>
      <c r="MJ10" s="3520"/>
      <c r="MK10" s="3564"/>
      <c r="ML10" s="3564"/>
      <c r="MM10" s="3564"/>
      <c r="MN10" s="3564"/>
      <c r="MO10" s="3564"/>
      <c r="MP10" s="3520"/>
      <c r="MQ10" s="3520"/>
      <c r="MR10" s="3520"/>
      <c r="MS10" s="3520"/>
      <c r="MT10" s="352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5"/>
      <c r="U11" s="3566"/>
      <c r="V11" s="3566"/>
      <c r="W11" s="3567"/>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88"/>
      <c r="U12" s="3489"/>
      <c r="V12" s="3489"/>
      <c r="W12" s="3490"/>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8"/>
      <c r="U13" s="3489"/>
      <c r="V13" s="3489"/>
      <c r="W13" s="3490"/>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8"/>
      <c r="U14" s="3489"/>
      <c r="V14" s="3489"/>
      <c r="W14" s="3490"/>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8"/>
      <c r="U15" s="3489"/>
      <c r="V15" s="3489"/>
      <c r="W15" s="3490"/>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8"/>
      <c r="U16" s="3489"/>
      <c r="V16" s="3489"/>
      <c r="W16" s="3490"/>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8"/>
      <c r="U17" s="3489"/>
      <c r="V17" s="3489"/>
      <c r="W17" s="3490"/>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t="str">
        <f t="shared" si="0"/>
        <v/>
      </c>
      <c r="B18" s="1059">
        <v>60</v>
      </c>
      <c r="C18" s="1024">
        <v>2</v>
      </c>
      <c r="D18" s="1663">
        <v>2</v>
      </c>
      <c r="E18" s="1025">
        <v>30</v>
      </c>
      <c r="F18" s="1025">
        <v>1068</v>
      </c>
      <c r="G18" s="1025">
        <v>1045</v>
      </c>
      <c r="H18" s="1025">
        <v>934</v>
      </c>
      <c r="I18" s="1025">
        <v>0</v>
      </c>
      <c r="J18" s="1041">
        <f>IF(C18="",0,HLOOKUP(C18,'Part IV-Utility Allowances'!$I$11:$M$22,12))</f>
        <v>184</v>
      </c>
      <c r="K18" s="1042"/>
      <c r="L18" s="1043">
        <f t="shared" si="1"/>
        <v>750</v>
      </c>
      <c r="M18" s="1043">
        <f t="shared" si="2"/>
        <v>22500</v>
      </c>
      <c r="N18" s="1044" t="s">
        <v>2644</v>
      </c>
      <c r="O18" s="1597" t="s">
        <v>5134</v>
      </c>
      <c r="P18" s="1044" t="s">
        <v>5142</v>
      </c>
      <c r="Q18" s="1045" t="s">
        <v>2644</v>
      </c>
      <c r="R18" s="726"/>
      <c r="S18" s="727"/>
      <c r="T18" s="3488"/>
      <c r="U18" s="3489"/>
      <c r="V18" s="3489"/>
      <c r="W18" s="3490"/>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f t="shared" si="15"/>
        <v>30</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f t="shared" si="130"/>
        <v>32040</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f t="shared" si="185"/>
        <v>30</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f t="shared" si="220"/>
        <v>30</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30</v>
      </c>
      <c r="MS18" s="1658">
        <f t="shared" si="331"/>
        <v>0</v>
      </c>
      <c r="MT18" s="1658">
        <f t="shared" si="332"/>
        <v>0</v>
      </c>
      <c r="NP18" s="1631" t="s">
        <v>4310</v>
      </c>
      <c r="NQ18" s="2482">
        <v>18</v>
      </c>
    </row>
    <row r="19" spans="1:381" ht="13.9" customHeight="1">
      <c r="A19" s="86" t="str">
        <f t="shared" si="0"/>
        <v/>
      </c>
      <c r="B19" s="1060">
        <v>60</v>
      </c>
      <c r="C19" s="132">
        <v>3</v>
      </c>
      <c r="D19" s="1661">
        <v>2</v>
      </c>
      <c r="E19" s="133">
        <v>15</v>
      </c>
      <c r="F19" s="133">
        <v>1325</v>
      </c>
      <c r="G19" s="133">
        <v>1207</v>
      </c>
      <c r="H19" s="133">
        <v>1065</v>
      </c>
      <c r="I19" s="133">
        <v>0</v>
      </c>
      <c r="J19" s="743">
        <f>IF(C19="",0,HLOOKUP(C19,'Part IV-Utility Allowances'!$I$11:$M$22,12))</f>
        <v>215</v>
      </c>
      <c r="K19" s="632"/>
      <c r="L19" s="460">
        <f t="shared" si="1"/>
        <v>850</v>
      </c>
      <c r="M19" s="460">
        <f t="shared" si="2"/>
        <v>12750</v>
      </c>
      <c r="N19" s="683" t="s">
        <v>2644</v>
      </c>
      <c r="O19" s="1595" t="s">
        <v>5134</v>
      </c>
      <c r="P19" s="683" t="s">
        <v>5142</v>
      </c>
      <c r="Q19" s="134" t="s">
        <v>2644</v>
      </c>
      <c r="R19" s="726"/>
      <c r="S19" s="727"/>
      <c r="T19" s="3488"/>
      <c r="U19" s="3489"/>
      <c r="V19" s="3489"/>
      <c r="W19" s="3490"/>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f t="shared" si="16"/>
        <v>15</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f t="shared" si="131"/>
        <v>19875</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f t="shared" si="186"/>
        <v>15</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t="str">
        <f t="shared" si="215"/>
        <v/>
      </c>
      <c r="IC19" s="1806" t="str">
        <f t="shared" si="216"/>
        <v/>
      </c>
      <c r="ID19" s="1806" t="str">
        <f t="shared" si="217"/>
        <v/>
      </c>
      <c r="IE19" s="1806" t="str">
        <f t="shared" si="218"/>
        <v/>
      </c>
      <c r="IF19" s="1806" t="str">
        <f t="shared" si="219"/>
        <v/>
      </c>
      <c r="IG19" s="1806" t="str">
        <f t="shared" si="220"/>
        <v/>
      </c>
      <c r="IH19" s="1806">
        <f t="shared" si="221"/>
        <v>15</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15</v>
      </c>
      <c r="MT19" s="1658">
        <f t="shared" si="332"/>
        <v>0</v>
      </c>
      <c r="NP19" s="1631" t="s">
        <v>4311</v>
      </c>
      <c r="NQ19" s="2482">
        <v>19</v>
      </c>
    </row>
    <row r="20" spans="1:381" ht="13.9" customHeight="1">
      <c r="A20" s="86" t="str">
        <f t="shared" si="0"/>
        <v/>
      </c>
      <c r="B20" s="1060">
        <v>60</v>
      </c>
      <c r="C20" s="132">
        <v>4</v>
      </c>
      <c r="D20" s="1661">
        <v>2</v>
      </c>
      <c r="E20" s="133">
        <v>10</v>
      </c>
      <c r="F20" s="133">
        <v>1374</v>
      </c>
      <c r="G20" s="133">
        <v>1347</v>
      </c>
      <c r="H20" s="133">
        <v>1211</v>
      </c>
      <c r="I20" s="133">
        <v>0</v>
      </c>
      <c r="J20" s="743">
        <f>IF(C20="",0,HLOOKUP(C20,'Part IV-Utility Allowances'!$I$11:$M$22,12))</f>
        <v>261</v>
      </c>
      <c r="K20" s="632"/>
      <c r="L20" s="460">
        <f t="shared" si="1"/>
        <v>950</v>
      </c>
      <c r="M20" s="460">
        <f t="shared" si="2"/>
        <v>9500</v>
      </c>
      <c r="N20" s="683" t="s">
        <v>2644</v>
      </c>
      <c r="O20" s="1595" t="s">
        <v>5134</v>
      </c>
      <c r="P20" s="683" t="s">
        <v>5142</v>
      </c>
      <c r="Q20" s="134" t="s">
        <v>2644</v>
      </c>
      <c r="R20" s="726"/>
      <c r="S20" s="727"/>
      <c r="T20" s="3488"/>
      <c r="U20" s="3489"/>
      <c r="V20" s="3489"/>
      <c r="W20" s="3490"/>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f t="shared" si="17"/>
        <v>10</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f t="shared" si="132"/>
        <v>13740</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f t="shared" si="187"/>
        <v>10</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f t="shared" si="222"/>
        <v>10</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10</v>
      </c>
      <c r="NP20" s="1631" t="s">
        <v>4312</v>
      </c>
      <c r="NQ20" s="2483">
        <v>20</v>
      </c>
    </row>
    <row r="21" spans="1:381" ht="13.9" customHeight="1">
      <c r="A21" s="86" t="str">
        <f t="shared" si="0"/>
        <v/>
      </c>
      <c r="B21" s="1060">
        <v>60</v>
      </c>
      <c r="C21" s="132">
        <v>4</v>
      </c>
      <c r="D21" s="1661">
        <v>3</v>
      </c>
      <c r="E21" s="133">
        <v>5</v>
      </c>
      <c r="F21" s="133">
        <v>1469</v>
      </c>
      <c r="G21" s="133">
        <v>1347</v>
      </c>
      <c r="H21" s="133">
        <v>1211</v>
      </c>
      <c r="I21" s="133">
        <v>0</v>
      </c>
      <c r="J21" s="743">
        <f>IF(C21="",0,HLOOKUP(C21,'Part IV-Utility Allowances'!$I$11:$M$22,12))</f>
        <v>261</v>
      </c>
      <c r="K21" s="632"/>
      <c r="L21" s="460">
        <f t="shared" si="1"/>
        <v>950</v>
      </c>
      <c r="M21" s="460">
        <f t="shared" si="2"/>
        <v>4750</v>
      </c>
      <c r="N21" s="683" t="s">
        <v>2644</v>
      </c>
      <c r="O21" s="1595" t="s">
        <v>5134</v>
      </c>
      <c r="P21" s="683" t="s">
        <v>5142</v>
      </c>
      <c r="Q21" s="134" t="s">
        <v>2644</v>
      </c>
      <c r="R21" s="726"/>
      <c r="S21" s="727"/>
      <c r="T21" s="3488"/>
      <c r="U21" s="3489"/>
      <c r="V21" s="3489"/>
      <c r="W21" s="3490"/>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f t="shared" si="17"/>
        <v>5</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f t="shared" si="132"/>
        <v>7345</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f t="shared" si="187"/>
        <v>5</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f t="shared" si="222"/>
        <v>5</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5</v>
      </c>
      <c r="NP21" s="1631" t="s">
        <v>4313</v>
      </c>
      <c r="NQ21" s="2482">
        <v>21</v>
      </c>
    </row>
    <row r="22" spans="1:381" ht="13.9" customHeight="1">
      <c r="A22" s="86" t="str">
        <f t="shared" si="0"/>
        <v/>
      </c>
      <c r="B22" s="1060">
        <v>50</v>
      </c>
      <c r="C22" s="132">
        <v>2</v>
      </c>
      <c r="D22" s="1661">
        <v>2</v>
      </c>
      <c r="E22" s="133">
        <v>8</v>
      </c>
      <c r="F22" s="133">
        <v>1068</v>
      </c>
      <c r="G22" s="133">
        <v>871</v>
      </c>
      <c r="H22" s="133">
        <v>869</v>
      </c>
      <c r="I22" s="133">
        <v>0</v>
      </c>
      <c r="J22" s="743">
        <f>IF(C22="",0,HLOOKUP(C22,'Part IV-Utility Allowances'!$I$11:$M$22,12))</f>
        <v>184</v>
      </c>
      <c r="K22" s="632"/>
      <c r="L22" s="460">
        <f t="shared" si="1"/>
        <v>685</v>
      </c>
      <c r="M22" s="460">
        <f t="shared" si="2"/>
        <v>5480</v>
      </c>
      <c r="N22" s="683" t="s">
        <v>2644</v>
      </c>
      <c r="O22" s="1595" t="s">
        <v>5134</v>
      </c>
      <c r="P22" s="683" t="s">
        <v>5142</v>
      </c>
      <c r="Q22" s="134" t="s">
        <v>2644</v>
      </c>
      <c r="R22" s="726"/>
      <c r="S22" s="727"/>
      <c r="T22" s="3488"/>
      <c r="U22" s="3489"/>
      <c r="V22" s="3489"/>
      <c r="W22" s="3490"/>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8</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8544</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f t="shared" si="185"/>
        <v>8</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f t="shared" si="220"/>
        <v>8</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8</v>
      </c>
      <c r="MS22" s="1658">
        <f t="shared" si="331"/>
        <v>0</v>
      </c>
      <c r="MT22" s="1658">
        <f t="shared" si="332"/>
        <v>0</v>
      </c>
      <c r="NP22" s="1631" t="s">
        <v>4314</v>
      </c>
      <c r="NQ22" s="2480">
        <v>22</v>
      </c>
    </row>
    <row r="23" spans="1:381" ht="13.9" customHeight="1">
      <c r="A23" s="86" t="str">
        <f t="shared" si="0"/>
        <v/>
      </c>
      <c r="B23" s="1060">
        <v>50</v>
      </c>
      <c r="C23" s="132">
        <v>3</v>
      </c>
      <c r="D23" s="1661">
        <v>2</v>
      </c>
      <c r="E23" s="133">
        <v>4</v>
      </c>
      <c r="F23" s="133">
        <v>1325</v>
      </c>
      <c r="G23" s="133">
        <v>1006</v>
      </c>
      <c r="H23" s="133">
        <v>1005</v>
      </c>
      <c r="I23" s="133">
        <v>0</v>
      </c>
      <c r="J23" s="743">
        <f>IF(C23="",0,HLOOKUP(C23,'Part IV-Utility Allowances'!$I$11:$M$22,12))</f>
        <v>215</v>
      </c>
      <c r="K23" s="632"/>
      <c r="L23" s="460">
        <f t="shared" si="1"/>
        <v>790</v>
      </c>
      <c r="M23" s="460">
        <f t="shared" si="2"/>
        <v>3160</v>
      </c>
      <c r="N23" s="683" t="s">
        <v>2644</v>
      </c>
      <c r="O23" s="1595" t="s">
        <v>5134</v>
      </c>
      <c r="P23" s="683" t="s">
        <v>5142</v>
      </c>
      <c r="Q23" s="134" t="s">
        <v>2644</v>
      </c>
      <c r="R23" s="726"/>
      <c r="S23" s="727"/>
      <c r="T23" s="3488"/>
      <c r="U23" s="3489"/>
      <c r="V23" s="3489"/>
      <c r="W23" s="3490"/>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f t="shared" si="21"/>
        <v>4</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f t="shared" si="136"/>
        <v>5300</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f t="shared" si="186"/>
        <v>4</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f t="shared" si="221"/>
        <v>4</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4</v>
      </c>
      <c r="MT23" s="1658">
        <f t="shared" si="332"/>
        <v>0</v>
      </c>
      <c r="NP23" s="1631" t="s">
        <v>4315</v>
      </c>
      <c r="NQ23" s="2482">
        <v>23</v>
      </c>
    </row>
    <row r="24" spans="1:381" ht="13.9" customHeight="1">
      <c r="A24" s="86" t="str">
        <f t="shared" si="0"/>
        <v/>
      </c>
      <c r="B24" s="1060">
        <v>50</v>
      </c>
      <c r="C24" s="132">
        <v>4</v>
      </c>
      <c r="D24" s="1661">
        <v>2</v>
      </c>
      <c r="E24" s="133">
        <v>3</v>
      </c>
      <c r="F24" s="133">
        <v>1374</v>
      </c>
      <c r="G24" s="133">
        <v>1122</v>
      </c>
      <c r="H24" s="133">
        <v>1121</v>
      </c>
      <c r="I24" s="133">
        <v>0</v>
      </c>
      <c r="J24" s="743">
        <f>IF(C24="",0,HLOOKUP(C24,'Part IV-Utility Allowances'!$I$11:$M$22,12))</f>
        <v>261</v>
      </c>
      <c r="K24" s="632"/>
      <c r="L24" s="460">
        <f t="shared" si="1"/>
        <v>860</v>
      </c>
      <c r="M24" s="460">
        <f t="shared" si="2"/>
        <v>2580</v>
      </c>
      <c r="N24" s="683" t="s">
        <v>2644</v>
      </c>
      <c r="O24" s="1595" t="s">
        <v>5134</v>
      </c>
      <c r="P24" s="683" t="s">
        <v>5142</v>
      </c>
      <c r="Q24" s="134" t="s">
        <v>2644</v>
      </c>
      <c r="R24" s="726"/>
      <c r="S24" s="727"/>
      <c r="T24" s="3488"/>
      <c r="U24" s="3489"/>
      <c r="V24" s="3489"/>
      <c r="W24" s="3490"/>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f t="shared" si="22"/>
        <v>3</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f t="shared" si="137"/>
        <v>4122</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f t="shared" si="187"/>
        <v>3</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f t="shared" si="222"/>
        <v>3</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3</v>
      </c>
      <c r="NP24" s="1631" t="s">
        <v>4316</v>
      </c>
      <c r="NQ24" s="2482">
        <v>24</v>
      </c>
    </row>
    <row r="25" spans="1:381" ht="13.9" customHeight="1">
      <c r="A25" s="86" t="str">
        <f t="shared" si="0"/>
        <v/>
      </c>
      <c r="B25" s="1060">
        <v>50</v>
      </c>
      <c r="C25" s="132">
        <v>4</v>
      </c>
      <c r="D25" s="1661">
        <v>3</v>
      </c>
      <c r="E25" s="133">
        <v>1</v>
      </c>
      <c r="F25" s="133">
        <v>1469</v>
      </c>
      <c r="G25" s="133">
        <v>1122</v>
      </c>
      <c r="H25" s="133">
        <v>1121</v>
      </c>
      <c r="I25" s="133">
        <v>0</v>
      </c>
      <c r="J25" s="743">
        <f>IF(C25="",0,HLOOKUP(C25,'Part IV-Utility Allowances'!$I$11:$M$22,12))</f>
        <v>261</v>
      </c>
      <c r="K25" s="632"/>
      <c r="L25" s="460">
        <f t="shared" si="1"/>
        <v>860</v>
      </c>
      <c r="M25" s="460">
        <f t="shared" si="2"/>
        <v>860</v>
      </c>
      <c r="N25" s="683" t="s">
        <v>2644</v>
      </c>
      <c r="O25" s="1595" t="s">
        <v>5134</v>
      </c>
      <c r="P25" s="683" t="s">
        <v>5142</v>
      </c>
      <c r="Q25" s="134" t="s">
        <v>2644</v>
      </c>
      <c r="R25" s="726"/>
      <c r="S25" s="727"/>
      <c r="T25" s="3488"/>
      <c r="U25" s="3489"/>
      <c r="V25" s="3489"/>
      <c r="W25" s="3490"/>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f t="shared" si="22"/>
        <v>1</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f t="shared" si="137"/>
        <v>1469</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f t="shared" si="187"/>
        <v>1</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f t="shared" si="222"/>
        <v>1</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1</v>
      </c>
      <c r="NP25" s="1631" t="s">
        <v>4317</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8"/>
      <c r="U26" s="3489"/>
      <c r="V26" s="3489"/>
      <c r="W26" s="3490"/>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8"/>
      <c r="U27" s="3489"/>
      <c r="V27" s="3489"/>
      <c r="W27" s="3490"/>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8"/>
      <c r="U28" s="3489"/>
      <c r="V28" s="3489"/>
      <c r="W28" s="3490"/>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8"/>
      <c r="U29" s="3489"/>
      <c r="V29" s="3489"/>
      <c r="W29" s="3490"/>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8"/>
      <c r="U30" s="3489"/>
      <c r="V30" s="3489"/>
      <c r="W30" s="3490"/>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8"/>
      <c r="U31" s="3489"/>
      <c r="V31" s="3489"/>
      <c r="W31" s="3490"/>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8"/>
      <c r="U32" s="3489"/>
      <c r="V32" s="3489"/>
      <c r="W32" s="3490"/>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8"/>
      <c r="U33" s="3489"/>
      <c r="V33" s="3489"/>
      <c r="W33" s="3490"/>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8"/>
      <c r="U34" s="3489"/>
      <c r="V34" s="3489"/>
      <c r="W34" s="3490"/>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8"/>
      <c r="U35" s="3489"/>
      <c r="V35" s="3489"/>
      <c r="W35" s="3490"/>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8"/>
      <c r="U36" s="3489"/>
      <c r="V36" s="3489"/>
      <c r="W36" s="3490"/>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8"/>
      <c r="U37" s="3489"/>
      <c r="V37" s="3489"/>
      <c r="W37" s="3490"/>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8"/>
      <c r="U38" s="3489"/>
      <c r="V38" s="3489"/>
      <c r="W38" s="3490"/>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8"/>
      <c r="U39" s="3489"/>
      <c r="V39" s="3489"/>
      <c r="W39" s="3490"/>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8"/>
      <c r="U40" s="3489"/>
      <c r="V40" s="3489"/>
      <c r="W40" s="3490"/>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8"/>
      <c r="U41" s="3489"/>
      <c r="V41" s="3489"/>
      <c r="W41" s="3490"/>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8"/>
      <c r="U42" s="3489"/>
      <c r="V42" s="3489"/>
      <c r="W42" s="3490"/>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8"/>
      <c r="U43" s="3489"/>
      <c r="V43" s="3489"/>
      <c r="W43" s="3490"/>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8"/>
      <c r="U44" s="3489"/>
      <c r="V44" s="3489"/>
      <c r="W44" s="3490"/>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8"/>
      <c r="U45" s="3489"/>
      <c r="V45" s="3489"/>
      <c r="W45" s="3490"/>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8"/>
      <c r="U46" s="3489"/>
      <c r="V46" s="3489"/>
      <c r="W46" s="3490"/>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8"/>
      <c r="U47" s="3489"/>
      <c r="V47" s="3489"/>
      <c r="W47" s="3490"/>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0</v>
      </c>
      <c r="B49" s="3557" t="s">
        <v>3648</v>
      </c>
      <c r="C49" s="3558"/>
      <c r="D49" s="107" t="s">
        <v>953</v>
      </c>
      <c r="E49" s="1054">
        <f>SUM(E11:E48)</f>
        <v>76</v>
      </c>
      <c r="F49" s="1052">
        <f>(E11*F11+E12*F12+E13*F13+E14*F14+E15*F15+E16*F16+E17*F17+E18*F18+E19*F19+E20*F20+E21*F21+E22*F22+E23*F23+E24*F24+E25*F25+E26*F26+E27*F27+E28*F28+E29*F29+E30*F30+E31*F31+E32*F32+E33*F33+E34*F34+E35*F35+E36*F36+E37*F37+E38*F38+E39*F39+E40*F40+E41*F41+E42*F42+E43*F43+E44*F44+E45*F45+E46*F46+E47*F47+E48*F48)</f>
        <v>92435</v>
      </c>
      <c r="H49" s="3559" t="s">
        <v>3645</v>
      </c>
      <c r="I49" s="1055" t="s">
        <v>3646</v>
      </c>
      <c r="J49" s="1056" t="str">
        <f>IF(P67=0,"",IF(SUM(P58:P62)/P67&gt;=0.4,"Pass","Fail"))</f>
        <v>Pass</v>
      </c>
      <c r="K49" s="447"/>
      <c r="L49" s="687" t="s">
        <v>1223</v>
      </c>
      <c r="M49" s="94">
        <f>SUM(M11:M48)</f>
        <v>61580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0</v>
      </c>
      <c r="AJ49" s="1659">
        <f t="shared" si="338"/>
        <v>30</v>
      </c>
      <c r="AK49" s="1659">
        <f t="shared" si="338"/>
        <v>15</v>
      </c>
      <c r="AL49" s="1659">
        <f t="shared" si="338"/>
        <v>15</v>
      </c>
      <c r="AM49" s="1659">
        <f>SUM(AM11:AM48)</f>
        <v>0</v>
      </c>
      <c r="AN49" s="1659">
        <f>SUM(AN11:AN48)</f>
        <v>0</v>
      </c>
      <c r="AO49" s="1659">
        <f>SUM(AO11:AO48)</f>
        <v>8</v>
      </c>
      <c r="AP49" s="1659">
        <f>SUM(AP11:AP48)</f>
        <v>4</v>
      </c>
      <c r="AQ49" s="1659">
        <f>SUM(AQ11:AQ48)</f>
        <v>4</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0</v>
      </c>
      <c r="EU49" s="1659">
        <f t="shared" si="338"/>
        <v>32040</v>
      </c>
      <c r="EV49" s="1659">
        <f t="shared" si="338"/>
        <v>19875</v>
      </c>
      <c r="EW49" s="1659">
        <f t="shared" si="338"/>
        <v>21085</v>
      </c>
      <c r="EX49" s="1659">
        <f t="shared" si="338"/>
        <v>0</v>
      </c>
      <c r="EY49" s="1659">
        <f t="shared" si="338"/>
        <v>0</v>
      </c>
      <c r="EZ49" s="1659">
        <f t="shared" si="338"/>
        <v>8544</v>
      </c>
      <c r="FA49" s="1659">
        <f t="shared" si="338"/>
        <v>5300</v>
      </c>
      <c r="FB49" s="1659">
        <f t="shared" ref="FB49:HW49" si="340">SUM(FB11:FB48)</f>
        <v>5591</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38</v>
      </c>
      <c r="GY49" s="1659">
        <f t="shared" si="340"/>
        <v>19</v>
      </c>
      <c r="GZ49" s="1659">
        <f t="shared" si="340"/>
        <v>19</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0</v>
      </c>
      <c r="IB49" s="1659">
        <f t="shared" si="341"/>
        <v>0</v>
      </c>
      <c r="IC49" s="1659">
        <f t="shared" si="341"/>
        <v>0</v>
      </c>
      <c r="ID49" s="1659">
        <f t="shared" si="341"/>
        <v>0</v>
      </c>
      <c r="IE49" s="1659">
        <f t="shared" si="341"/>
        <v>0</v>
      </c>
      <c r="IF49" s="1659">
        <f t="shared" si="341"/>
        <v>0</v>
      </c>
      <c r="IG49" s="1659">
        <f t="shared" si="341"/>
        <v>38</v>
      </c>
      <c r="IH49" s="1659">
        <f t="shared" si="341"/>
        <v>19</v>
      </c>
      <c r="II49" s="1659">
        <f t="shared" si="341"/>
        <v>19</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38</v>
      </c>
      <c r="MS49" s="1659">
        <f t="shared" si="343"/>
        <v>19</v>
      </c>
      <c r="MT49" s="1659">
        <f t="shared" si="343"/>
        <v>19</v>
      </c>
      <c r="MU49" s="448">
        <f t="shared" si="343"/>
        <v>0</v>
      </c>
      <c r="NO49" s="356"/>
      <c r="NP49" s="1631" t="s">
        <v>4341</v>
      </c>
      <c r="NQ49" s="2482">
        <v>49</v>
      </c>
    </row>
    <row r="50" spans="1:381" s="115" customFormat="1" ht="13.9" customHeight="1">
      <c r="B50" s="3561">
        <f>IF(SUM(E18:E48)=0,"",(B18*E18+B19*E19+B20*E20+B21*E21+B22*E22+B23*E23+B24*E24+B25*E25+B26*E26+B27*E27+B28*E28+B29*E29+B30*E30+B31*E31+B32*E32+B33*E33+B34*E34+B35*E35+B36*E36+B37*E37+B38*E38+B39*E39+B40*E40+B41*E41+B42*E42+B43*E43+B44*E44+B45*E45+B46*E46+B47*E47+B48*E48)/SUM(E18:E48))</f>
        <v>57.89473684210526</v>
      </c>
      <c r="C50" s="3562"/>
      <c r="D50" s="119" t="s">
        <v>3555</v>
      </c>
      <c r="E50" s="1051">
        <f>SUM(E18:E48)</f>
        <v>76</v>
      </c>
      <c r="F50" s="1053">
        <f>(E18*F18+E19*F19+E20*F20+E21*F21+E22*F22+E23*F23+E24*F24+E25*F25+E26*F26+E27*F27+E28*F28+E29*F29+E30*F30+E31*F31+E32*F32+E33*F33+E34*F34+E35*F35+E36*F36+E37*F37+E38*F38+E39*F39+E40*F40+E41*F41+E42*F42+E43*F43+E44*F44+E45*F45+E46*F46+E47*F47+E48*F48)</f>
        <v>92435</v>
      </c>
      <c r="H50" s="3560"/>
      <c r="I50" s="1057" t="s">
        <v>3647</v>
      </c>
      <c r="J50" s="1058" t="str">
        <f>IF(P67=0,"",IF(SUM(P59:P62)/P67&gt;=0.2,"Pass","Fail"))</f>
        <v>Pass</v>
      </c>
      <c r="K50" s="447"/>
      <c r="L50" s="107" t="s">
        <v>756</v>
      </c>
      <c r="M50" s="94">
        <f>M49*12</f>
        <v>738960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5" customHeight="1">
      <c r="A51" s="3563" t="s">
        <v>5027</v>
      </c>
      <c r="B51" s="3517"/>
      <c r="C51" s="3517"/>
      <c r="D51" s="3517"/>
      <c r="E51" s="3517"/>
      <c r="F51" s="3517"/>
      <c r="G51" s="3517"/>
      <c r="H51" s="3517"/>
      <c r="I51" s="3517"/>
      <c r="J51" s="3517"/>
      <c r="K51" s="3517"/>
      <c r="L51" s="3517"/>
      <c r="M51" s="3517"/>
      <c r="N51" s="3517"/>
      <c r="O51" s="3517"/>
      <c r="P51" s="3517"/>
      <c r="Q51" s="3517"/>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7"/>
      <c r="B52" s="3517"/>
      <c r="C52" s="3517"/>
      <c r="D52" s="3517"/>
      <c r="E52" s="3517"/>
      <c r="F52" s="3517"/>
      <c r="G52" s="3517"/>
      <c r="H52" s="3517"/>
      <c r="I52" s="3517"/>
      <c r="J52" s="3517"/>
      <c r="K52" s="3517"/>
      <c r="L52" s="3517"/>
      <c r="M52" s="3517"/>
      <c r="N52" s="3517"/>
      <c r="O52" s="3517"/>
      <c r="P52" s="3517"/>
      <c r="Q52" s="3517"/>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555" t="s">
        <v>5145</v>
      </c>
      <c r="P53" s="3556"/>
      <c r="S53" s="3504" t="str">
        <f>B53</f>
        <v>UNIT SUMMARY</v>
      </c>
      <c r="T53" s="3504"/>
      <c r="U53" s="3504"/>
      <c r="V53" s="3504"/>
      <c r="AY53" s="358"/>
      <c r="BD53" s="358"/>
      <c r="LO53" s="360"/>
      <c r="MD53" s="356"/>
      <c r="NQ53" s="2483">
        <v>53</v>
      </c>
    </row>
    <row r="54" spans="1:381" ht="14.25" customHeight="1">
      <c r="A54" s="10"/>
      <c r="B54" s="10"/>
      <c r="K54" s="144" t="s">
        <v>4539</v>
      </c>
      <c r="O54" s="3513" t="s">
        <v>5146</v>
      </c>
      <c r="P54" s="3514"/>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5" t="s">
        <v>3945</v>
      </c>
      <c r="B56" s="351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16" t="s">
        <v>3100</v>
      </c>
      <c r="R56" s="876"/>
      <c r="S56" s="3508"/>
      <c r="T56" s="3509"/>
      <c r="U56" s="3509"/>
      <c r="V56" s="3509"/>
      <c r="W56" s="351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5"/>
      <c r="B57" s="3515"/>
      <c r="C57" s="72"/>
      <c r="D57" s="1"/>
      <c r="E57" s="1"/>
      <c r="F57" s="1"/>
      <c r="G57" s="62"/>
      <c r="H57" s="81" t="s">
        <v>3557</v>
      </c>
      <c r="I57" s="29"/>
      <c r="J57" s="62"/>
      <c r="K57" s="1068">
        <f>AC49</f>
        <v>0</v>
      </c>
      <c r="L57" s="1069">
        <f>AD49</f>
        <v>0</v>
      </c>
      <c r="M57" s="1069">
        <f>AE49</f>
        <v>0</v>
      </c>
      <c r="N57" s="1069">
        <f>AF49</f>
        <v>0</v>
      </c>
      <c r="O57" s="1070">
        <f>AG49</f>
        <v>0</v>
      </c>
      <c r="P57" s="732">
        <f t="shared" si="344"/>
        <v>0</v>
      </c>
      <c r="Q57" s="3516"/>
      <c r="R57" s="876"/>
      <c r="S57" s="3488"/>
      <c r="T57" s="3489"/>
      <c r="U57" s="3489"/>
      <c r="V57" s="3489"/>
      <c r="W57" s="3490"/>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5"/>
      <c r="B58" s="3515"/>
      <c r="C58" s="72"/>
      <c r="D58" s="1"/>
      <c r="E58" s="1"/>
      <c r="F58" s="1"/>
      <c r="G58" s="62"/>
      <c r="H58" s="81" t="s">
        <v>1080</v>
      </c>
      <c r="I58" s="29"/>
      <c r="J58" s="62"/>
      <c r="K58" s="1068">
        <f>AH49</f>
        <v>0</v>
      </c>
      <c r="L58" s="1069">
        <f>AI49</f>
        <v>0</v>
      </c>
      <c r="M58" s="1069">
        <f>AJ49</f>
        <v>30</v>
      </c>
      <c r="N58" s="1069">
        <f>AK49</f>
        <v>15</v>
      </c>
      <c r="O58" s="1070">
        <f>AL49</f>
        <v>15</v>
      </c>
      <c r="P58" s="732">
        <f t="shared" si="344"/>
        <v>60</v>
      </c>
      <c r="Q58" s="3516"/>
      <c r="R58" s="876"/>
      <c r="S58" s="3488"/>
      <c r="T58" s="3489"/>
      <c r="U58" s="3489"/>
      <c r="V58" s="3489"/>
      <c r="W58" s="3490"/>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5"/>
      <c r="B59" s="3515"/>
      <c r="C59" s="72"/>
      <c r="D59" s="1"/>
      <c r="E59" s="1"/>
      <c r="F59" s="1"/>
      <c r="G59" s="62"/>
      <c r="H59" s="81" t="s">
        <v>112</v>
      </c>
      <c r="I59" s="29"/>
      <c r="J59" s="899"/>
      <c r="K59" s="1089">
        <f>AM49</f>
        <v>0</v>
      </c>
      <c r="L59" s="1090">
        <f>AN49</f>
        <v>0</v>
      </c>
      <c r="M59" s="1090">
        <f>AO49</f>
        <v>8</v>
      </c>
      <c r="N59" s="1090">
        <f>AP49</f>
        <v>4</v>
      </c>
      <c r="O59" s="1091">
        <f>AQ49</f>
        <v>4</v>
      </c>
      <c r="P59" s="465">
        <f t="shared" si="344"/>
        <v>16</v>
      </c>
      <c r="Q59" s="3516"/>
      <c r="R59" s="876"/>
      <c r="S59" s="3488"/>
      <c r="T59" s="3489"/>
      <c r="U59" s="3489"/>
      <c r="V59" s="3489"/>
      <c r="W59" s="3490"/>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5"/>
      <c r="B60" s="3515"/>
      <c r="C60" s="72"/>
      <c r="D60" s="1"/>
      <c r="E60" s="1"/>
      <c r="F60" s="1"/>
      <c r="G60" s="62"/>
      <c r="H60" s="81" t="s">
        <v>3558</v>
      </c>
      <c r="I60" s="29"/>
      <c r="J60" s="899"/>
      <c r="K60" s="1068">
        <f>AR49</f>
        <v>0</v>
      </c>
      <c r="L60" s="1069">
        <f>AS49</f>
        <v>0</v>
      </c>
      <c r="M60" s="1069">
        <f>AT49</f>
        <v>0</v>
      </c>
      <c r="N60" s="1069">
        <f>AU49</f>
        <v>0</v>
      </c>
      <c r="O60" s="1070">
        <f>AV49</f>
        <v>0</v>
      </c>
      <c r="P60" s="732">
        <f t="shared" si="344"/>
        <v>0</v>
      </c>
      <c r="Q60" s="3516"/>
      <c r="R60" s="876"/>
      <c r="S60" s="3488"/>
      <c r="T60" s="3489"/>
      <c r="U60" s="3489"/>
      <c r="V60" s="3489"/>
      <c r="W60" s="3490"/>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5"/>
      <c r="B61" s="3515"/>
      <c r="C61" s="72"/>
      <c r="D61" s="1"/>
      <c r="E61" s="1"/>
      <c r="F61" s="1"/>
      <c r="G61" s="62"/>
      <c r="H61" s="81" t="s">
        <v>3559</v>
      </c>
      <c r="I61" s="29"/>
      <c r="J61" s="62"/>
      <c r="K61" s="1068">
        <f>AW49</f>
        <v>0</v>
      </c>
      <c r="L61" s="1069">
        <f>AX49</f>
        <v>0</v>
      </c>
      <c r="M61" s="1069">
        <f>AY49</f>
        <v>0</v>
      </c>
      <c r="N61" s="1069">
        <f>AZ49</f>
        <v>0</v>
      </c>
      <c r="O61" s="1070">
        <f>BA49</f>
        <v>0</v>
      </c>
      <c r="P61" s="732">
        <f t="shared" si="344"/>
        <v>0</v>
      </c>
      <c r="Q61" s="3516"/>
      <c r="R61" s="876"/>
      <c r="S61" s="3488"/>
      <c r="T61" s="3489"/>
      <c r="U61" s="3489"/>
      <c r="V61" s="3489"/>
      <c r="W61" s="3490"/>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5"/>
      <c r="B62" s="3515"/>
      <c r="C62" s="4"/>
      <c r="D62" s="1"/>
      <c r="E62" s="1"/>
      <c r="F62" s="1"/>
      <c r="G62" s="62"/>
      <c r="H62" s="81" t="s">
        <v>3560</v>
      </c>
      <c r="I62" s="29"/>
      <c r="J62" s="62"/>
      <c r="K62" s="1071">
        <f>BB49</f>
        <v>0</v>
      </c>
      <c r="L62" s="1072">
        <f>BC49</f>
        <v>0</v>
      </c>
      <c r="M62" s="1072">
        <f>BD49</f>
        <v>0</v>
      </c>
      <c r="N62" s="1072">
        <f>BE49</f>
        <v>0</v>
      </c>
      <c r="O62" s="1073">
        <f>BF49</f>
        <v>0</v>
      </c>
      <c r="P62" s="465">
        <f t="shared" si="344"/>
        <v>0</v>
      </c>
      <c r="Q62" s="3516"/>
      <c r="R62" s="876"/>
      <c r="S62" s="3488"/>
      <c r="T62" s="3489"/>
      <c r="U62" s="3489"/>
      <c r="V62" s="3489"/>
      <c r="W62" s="3490"/>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5"/>
      <c r="B63" s="3515"/>
      <c r="C63" s="81" t="s">
        <v>3642</v>
      </c>
      <c r="D63" s="1"/>
      <c r="E63" s="1"/>
      <c r="F63" s="1"/>
      <c r="G63" s="62"/>
      <c r="H63" s="68"/>
      <c r="I63" s="44"/>
      <c r="J63" s="62"/>
      <c r="K63" s="1033">
        <f>SUM(K56:K62)</f>
        <v>0</v>
      </c>
      <c r="L63" s="1033">
        <f>SUM(L56:L62)</f>
        <v>0</v>
      </c>
      <c r="M63" s="1033">
        <f>SUM(M56:M62)</f>
        <v>38</v>
      </c>
      <c r="N63" s="1033">
        <f>SUM(N56:N62)</f>
        <v>19</v>
      </c>
      <c r="O63" s="1033">
        <f>SUM(O56:O62)</f>
        <v>19</v>
      </c>
      <c r="P63" s="1033">
        <f t="shared" si="344"/>
        <v>76</v>
      </c>
      <c r="Q63" s="3517"/>
      <c r="S63" s="3488"/>
      <c r="T63" s="3489"/>
      <c r="U63" s="3489"/>
      <c r="V63" s="3489"/>
      <c r="W63" s="3490"/>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5"/>
      <c r="B64" s="3515"/>
      <c r="D64" s="1"/>
      <c r="E64" s="1"/>
      <c r="F64" s="1"/>
      <c r="G64" s="62"/>
      <c r="H64" s="81" t="s">
        <v>290</v>
      </c>
      <c r="I64" s="29"/>
      <c r="J64" s="62"/>
      <c r="K64" s="733">
        <f>BG49</f>
        <v>0</v>
      </c>
      <c r="L64" s="733">
        <f>BH49</f>
        <v>0</v>
      </c>
      <c r="M64" s="733">
        <f>BI49</f>
        <v>0</v>
      </c>
      <c r="N64" s="733">
        <f>BJ49</f>
        <v>0</v>
      </c>
      <c r="O64" s="733">
        <f>BK49</f>
        <v>0</v>
      </c>
      <c r="P64" s="733">
        <f t="shared" si="344"/>
        <v>0</v>
      </c>
      <c r="S64" s="3488"/>
      <c r="T64" s="3489"/>
      <c r="U64" s="3489"/>
      <c r="V64" s="3489"/>
      <c r="W64" s="3490"/>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5"/>
      <c r="B65" s="3515"/>
      <c r="C65" s="1038" t="s">
        <v>1069</v>
      </c>
      <c r="D65" s="1038"/>
      <c r="E65" s="1038"/>
      <c r="F65" s="1038"/>
      <c r="G65" s="1039"/>
      <c r="H65" s="1375"/>
      <c r="I65" s="42"/>
      <c r="J65" s="1039"/>
      <c r="K65" s="1040">
        <f>SUM(K63:K64)</f>
        <v>0</v>
      </c>
      <c r="L65" s="1040">
        <f>SUM(L63:L64)</f>
        <v>0</v>
      </c>
      <c r="M65" s="1040">
        <f>SUM(M63:M64)</f>
        <v>38</v>
      </c>
      <c r="N65" s="1040">
        <f>SUM(N63:N64)</f>
        <v>19</v>
      </c>
      <c r="O65" s="1040">
        <f>SUM(O63:O64)</f>
        <v>19</v>
      </c>
      <c r="P65" s="1040">
        <f t="shared" si="344"/>
        <v>76</v>
      </c>
      <c r="S65" s="3488"/>
      <c r="T65" s="3489"/>
      <c r="U65" s="3489"/>
      <c r="V65" s="3489"/>
      <c r="W65" s="3490"/>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5"/>
      <c r="B66" s="351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88"/>
      <c r="T66" s="3489"/>
      <c r="U66" s="3489"/>
      <c r="V66" s="3489"/>
      <c r="W66" s="3490"/>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5"/>
      <c r="B67" s="3515"/>
      <c r="C67" s="4" t="s">
        <v>1662</v>
      </c>
      <c r="D67" s="1"/>
      <c r="E67" s="1"/>
      <c r="F67" s="1"/>
      <c r="G67" s="62"/>
      <c r="H67" s="81"/>
      <c r="I67" s="29"/>
      <c r="J67" s="62"/>
      <c r="K67" s="1032">
        <f>SUM(K65:K66)</f>
        <v>0</v>
      </c>
      <c r="L67" s="1032">
        <f>SUM(L65:L66)</f>
        <v>0</v>
      </c>
      <c r="M67" s="1032">
        <f>SUM(M65:M66)</f>
        <v>38</v>
      </c>
      <c r="N67" s="1032">
        <f>SUM(N65:N66)</f>
        <v>19</v>
      </c>
      <c r="O67" s="1032">
        <f>SUM(O65:O66)</f>
        <v>19</v>
      </c>
      <c r="P67" s="1032">
        <f t="shared" si="344"/>
        <v>76</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5"/>
      <c r="B68" s="351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5"/>
      <c r="B69" s="3515"/>
      <c r="C69" s="3518" t="s">
        <v>3651</v>
      </c>
      <c r="D69" s="3518"/>
      <c r="E69" s="3518"/>
      <c r="F69" s="351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5"/>
      <c r="B70" s="3515"/>
      <c r="C70" s="3518"/>
      <c r="D70" s="3518"/>
      <c r="E70" s="3518"/>
      <c r="F70" s="3518"/>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508"/>
      <c r="T70" s="3509"/>
      <c r="U70" s="3509"/>
      <c r="V70" s="3509"/>
      <c r="W70" s="351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5"/>
      <c r="B71" s="351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8"/>
      <c r="T71" s="3489"/>
      <c r="U71" s="3489"/>
      <c r="V71" s="3489"/>
      <c r="W71" s="3490"/>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5"/>
      <c r="B72" s="3515"/>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8"/>
      <c r="T72" s="3489"/>
      <c r="U72" s="3489"/>
      <c r="V72" s="3489"/>
      <c r="W72" s="3490"/>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5"/>
      <c r="B73" s="3515"/>
      <c r="C73" s="655"/>
      <c r="D73" s="3519" t="s">
        <v>3938</v>
      </c>
      <c r="E73" s="3519"/>
      <c r="F73" s="3519"/>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8"/>
      <c r="T73" s="3489"/>
      <c r="U73" s="3489"/>
      <c r="V73" s="3489"/>
      <c r="W73" s="3490"/>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9"/>
      <c r="E74" s="3519"/>
      <c r="F74" s="3519"/>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8"/>
      <c r="T74" s="3489"/>
      <c r="U74" s="3489"/>
      <c r="V74" s="3489"/>
      <c r="W74" s="3490"/>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9"/>
      <c r="E75" s="3519"/>
      <c r="F75" s="3519"/>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8"/>
      <c r="T75" s="3489"/>
      <c r="U75" s="3489"/>
      <c r="V75" s="3489"/>
      <c r="W75" s="3490"/>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19"/>
      <c r="E76" s="3519"/>
      <c r="F76" s="3519"/>
      <c r="G76" s="6"/>
      <c r="H76" s="81" t="s">
        <v>1080</v>
      </c>
      <c r="I76" s="29"/>
      <c r="J76" s="1"/>
      <c r="K76" s="1372" t="str">
        <f t="shared" ref="K76:P76" si="349">IF(OR(K58=0,K67=0),"",K58/K67)</f>
        <v/>
      </c>
      <c r="L76" s="1373" t="str">
        <f t="shared" si="349"/>
        <v/>
      </c>
      <c r="M76" s="1373">
        <f t="shared" si="349"/>
        <v>0.78947368421052633</v>
      </c>
      <c r="N76" s="1373">
        <f t="shared" si="349"/>
        <v>0.78947368421052633</v>
      </c>
      <c r="O76" s="1373">
        <f t="shared" si="349"/>
        <v>0.78947368421052633</v>
      </c>
      <c r="P76" s="1374">
        <f t="shared" si="349"/>
        <v>0.78947368421052633</v>
      </c>
      <c r="S76" s="3488"/>
      <c r="T76" s="3489"/>
      <c r="U76" s="3489"/>
      <c r="V76" s="3489"/>
      <c r="W76" s="3490"/>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9"/>
      <c r="E77" s="3519"/>
      <c r="F77" s="3519"/>
      <c r="G77" s="6"/>
      <c r="H77" s="81" t="s">
        <v>4384</v>
      </c>
      <c r="I77" s="29"/>
      <c r="J77" s="1"/>
      <c r="K77" s="1424" t="str">
        <f>IF(OR(K58=0,P76="",K67=0),"",P76*K67)</f>
        <v/>
      </c>
      <c r="L77" s="1424" t="str">
        <f>IF(OR(L58=0,P76="",L67=0),"",P76*L67)</f>
        <v/>
      </c>
      <c r="M77" s="1424">
        <f>IF(OR(M58=0,P76="",M67=0),"",P76*M67)</f>
        <v>30</v>
      </c>
      <c r="N77" s="1424">
        <f>IF(OR(N58=0,P76="",N67=0),"",P76*N67)</f>
        <v>15</v>
      </c>
      <c r="O77" s="1424">
        <f>IF(OR(O58=0,P76="",O67=0),"",P76*O67)</f>
        <v>15</v>
      </c>
      <c r="P77" s="1425">
        <f>IF(OR(P76="",P67=0),"",P76*P67)</f>
        <v>60</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9"/>
      <c r="E78" s="3519"/>
      <c r="F78" s="3519"/>
      <c r="G78" s="1419"/>
      <c r="H78" s="1377" t="s">
        <v>4385</v>
      </c>
      <c r="I78" s="1345"/>
      <c r="J78" s="1"/>
      <c r="K78" s="1426" t="str">
        <f t="shared" ref="K78:P78" si="350">IF(OR(K77="",K58=0),"", K58-K77)</f>
        <v/>
      </c>
      <c r="L78" s="1426" t="str">
        <f t="shared" si="350"/>
        <v/>
      </c>
      <c r="M78" s="1426">
        <f t="shared" si="350"/>
        <v>0</v>
      </c>
      <c r="N78" s="1426">
        <f t="shared" si="350"/>
        <v>0</v>
      </c>
      <c r="O78" s="1426">
        <f t="shared" si="350"/>
        <v>0</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t="str">
        <f t="shared" si="351"/>
        <v/>
      </c>
      <c r="M79" s="1373">
        <f t="shared" si="351"/>
        <v>0.21052631578947367</v>
      </c>
      <c r="N79" s="1373">
        <f t="shared" si="351"/>
        <v>0.21052631578947367</v>
      </c>
      <c r="O79" s="1373">
        <f t="shared" si="351"/>
        <v>0.21052631578947367</v>
      </c>
      <c r="P79" s="1374">
        <f t="shared" si="351"/>
        <v>0.21052631578947367</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t="str">
        <f>IF(OR(L59=0,P79="",L67=0),"",P79*L67)</f>
        <v/>
      </c>
      <c r="M80" s="1424">
        <f>IF(OR(M59=0,P79="",M67=0),"",P79*M67)</f>
        <v>8</v>
      </c>
      <c r="N80" s="1424">
        <f>IF(OR(N59=0,P79="",N67=0),"",P79*N67)</f>
        <v>4</v>
      </c>
      <c r="O80" s="1424">
        <f>IF(OR(O59=0,P79="",O67=0),"",P79*O67)</f>
        <v>4</v>
      </c>
      <c r="P80" s="1425">
        <f>IF(OR(P79="",P67=0),"",P79*P67)</f>
        <v>16</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t="str">
        <f t="shared" si="352"/>
        <v/>
      </c>
      <c r="M81" s="1426">
        <f t="shared" si="352"/>
        <v>0</v>
      </c>
      <c r="N81" s="1426">
        <f t="shared" si="352"/>
        <v>0</v>
      </c>
      <c r="O81" s="1426">
        <f t="shared" si="352"/>
        <v>0</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508"/>
      <c r="T93" s="3509"/>
      <c r="U93" s="3509"/>
      <c r="V93" s="3509"/>
      <c r="W93" s="351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88"/>
      <c r="T94" s="3489"/>
      <c r="U94" s="3489"/>
      <c r="V94" s="3489"/>
      <c r="W94" s="3490"/>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8"/>
      <c r="T95" s="3489"/>
      <c r="U95" s="3489"/>
      <c r="V95" s="3489"/>
      <c r="W95" s="3490"/>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8"/>
      <c r="T96" s="3489"/>
      <c r="U96" s="3489"/>
      <c r="V96" s="3489"/>
      <c r="W96" s="3490"/>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88"/>
      <c r="T97" s="3489"/>
      <c r="U97" s="3489"/>
      <c r="V97" s="3489"/>
      <c r="W97" s="3490"/>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88"/>
      <c r="T98" s="3489"/>
      <c r="U98" s="3489"/>
      <c r="V98" s="3489"/>
      <c r="W98" s="3490"/>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88"/>
      <c r="T99" s="3489"/>
      <c r="U99" s="3489"/>
      <c r="V99" s="3489"/>
      <c r="W99" s="3490"/>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501" t="str">
        <f>O53</f>
        <v>40% of Units at 60% of AMI</v>
      </c>
      <c r="M102" s="3502"/>
      <c r="N102" s="3502"/>
      <c r="O102" s="350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508"/>
      <c r="T104" s="3509"/>
      <c r="U104" s="3509"/>
      <c r="V104" s="3509"/>
      <c r="W104" s="351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88"/>
      <c r="T105" s="3489"/>
      <c r="U105" s="3489"/>
      <c r="V105" s="3489"/>
      <c r="W105" s="3490"/>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8"/>
      <c r="T106" s="3489"/>
      <c r="U106" s="3489"/>
      <c r="V106" s="3489"/>
      <c r="W106" s="3490"/>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8"/>
      <c r="T107" s="3489"/>
      <c r="U107" s="3489"/>
      <c r="V107" s="3489"/>
      <c r="W107" s="3490"/>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88"/>
      <c r="T108" s="3489"/>
      <c r="U108" s="3489"/>
      <c r="V108" s="3489"/>
      <c r="W108" s="3490"/>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88"/>
      <c r="T109" s="3489"/>
      <c r="U109" s="3489"/>
      <c r="V109" s="3489"/>
      <c r="W109" s="3490"/>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88"/>
      <c r="T110" s="3489"/>
      <c r="U110" s="3489"/>
      <c r="V110" s="3489"/>
      <c r="W110" s="3490"/>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6" t="s">
        <v>35</v>
      </c>
      <c r="D113" s="3506"/>
      <c r="E113" s="81" t="s">
        <v>4828</v>
      </c>
      <c r="F113" s="1"/>
      <c r="G113" s="62"/>
      <c r="H113" s="81" t="s">
        <v>1341</v>
      </c>
      <c r="I113" s="29"/>
      <c r="J113" s="62"/>
      <c r="K113" s="1065">
        <f>GG49</f>
        <v>0</v>
      </c>
      <c r="L113" s="1066">
        <f>GH49</f>
        <v>0</v>
      </c>
      <c r="M113" s="1066">
        <f>GI49</f>
        <v>0</v>
      </c>
      <c r="N113" s="1066">
        <f>GJ49</f>
        <v>0</v>
      </c>
      <c r="O113" s="1067">
        <f>GK49</f>
        <v>0</v>
      </c>
      <c r="P113" s="736">
        <f t="shared" ref="P113:P123" si="361">SUM(K113:O113)</f>
        <v>0</v>
      </c>
      <c r="S113" s="3508"/>
      <c r="T113" s="3509"/>
      <c r="U113" s="3509"/>
      <c r="V113" s="3509"/>
      <c r="W113" s="351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6"/>
      <c r="D114" s="3506"/>
      <c r="E114" s="81"/>
      <c r="F114" s="1"/>
      <c r="G114" s="62"/>
      <c r="H114" s="81" t="s">
        <v>290</v>
      </c>
      <c r="I114" s="29"/>
      <c r="J114" s="62"/>
      <c r="K114" s="1071">
        <f>GL49</f>
        <v>0</v>
      </c>
      <c r="L114" s="1072">
        <f>GM49</f>
        <v>0</v>
      </c>
      <c r="M114" s="1072">
        <f>GN49</f>
        <v>0</v>
      </c>
      <c r="N114" s="1072">
        <f>GO49</f>
        <v>0</v>
      </c>
      <c r="O114" s="1073">
        <f>GP49</f>
        <v>0</v>
      </c>
      <c r="P114" s="733">
        <f t="shared" si="361"/>
        <v>0</v>
      </c>
      <c r="S114" s="3488"/>
      <c r="T114" s="3489"/>
      <c r="U114" s="3489"/>
      <c r="V114" s="3489"/>
      <c r="W114" s="3490"/>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6"/>
      <c r="D115" s="3506"/>
      <c r="E115" s="81"/>
      <c r="F115" s="1"/>
      <c r="G115" s="62"/>
      <c r="H115" s="141" t="s">
        <v>29</v>
      </c>
      <c r="I115" s="646" t="s">
        <v>4835</v>
      </c>
      <c r="J115" s="2096">
        <f>IF($P$67=0,0,P115/$P$67)</f>
        <v>0</v>
      </c>
      <c r="K115" s="1034">
        <f>SUM(K113:K114)+GQ49</f>
        <v>0</v>
      </c>
      <c r="L115" s="1034">
        <f>SUM(L113:L114)+GR49</f>
        <v>0</v>
      </c>
      <c r="M115" s="1034">
        <f>SUM(M113:M114)+GS49</f>
        <v>0</v>
      </c>
      <c r="N115" s="1034">
        <f>SUM(N113:N114)+GT49</f>
        <v>0</v>
      </c>
      <c r="O115" s="1034">
        <f>SUM(O113:O114)+GU49</f>
        <v>0</v>
      </c>
      <c r="P115" s="1034">
        <f t="shared" si="361"/>
        <v>0</v>
      </c>
      <c r="S115" s="3488"/>
      <c r="T115" s="3489"/>
      <c r="U115" s="3489"/>
      <c r="V115" s="3489"/>
      <c r="W115" s="3490"/>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6"/>
      <c r="D116" s="3506"/>
      <c r="E116" s="81" t="s">
        <v>1978</v>
      </c>
      <c r="F116" s="1"/>
      <c r="G116" s="62"/>
      <c r="H116" s="81" t="s">
        <v>1341</v>
      </c>
      <c r="I116" s="29"/>
      <c r="J116" s="62"/>
      <c r="K116" s="1065">
        <f>GV49</f>
        <v>0</v>
      </c>
      <c r="L116" s="1066">
        <f>GW49</f>
        <v>0</v>
      </c>
      <c r="M116" s="1066">
        <f>GX49</f>
        <v>38</v>
      </c>
      <c r="N116" s="1066">
        <f>GY49</f>
        <v>19</v>
      </c>
      <c r="O116" s="1067">
        <f>GZ49</f>
        <v>19</v>
      </c>
      <c r="P116" s="736">
        <f t="shared" si="361"/>
        <v>76</v>
      </c>
      <c r="S116" s="3488"/>
      <c r="T116" s="3489"/>
      <c r="U116" s="3489"/>
      <c r="V116" s="3489"/>
      <c r="W116" s="3490"/>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6"/>
      <c r="D117" s="3506"/>
      <c r="E117" s="81"/>
      <c r="F117" s="1"/>
      <c r="G117" s="62"/>
      <c r="H117" s="81" t="s">
        <v>290</v>
      </c>
      <c r="I117" s="29"/>
      <c r="J117" s="62"/>
      <c r="K117" s="1071">
        <f>HA49</f>
        <v>0</v>
      </c>
      <c r="L117" s="1072">
        <f>HB49</f>
        <v>0</v>
      </c>
      <c r="M117" s="1072">
        <f>HC49</f>
        <v>0</v>
      </c>
      <c r="N117" s="1072">
        <f>HD49</f>
        <v>0</v>
      </c>
      <c r="O117" s="1073">
        <f>HE49</f>
        <v>0</v>
      </c>
      <c r="P117" s="733">
        <f t="shared" si="361"/>
        <v>0</v>
      </c>
      <c r="S117" s="3488"/>
      <c r="T117" s="3489"/>
      <c r="U117" s="3489"/>
      <c r="V117" s="3489"/>
      <c r="W117" s="3490"/>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6"/>
      <c r="D118" s="3506"/>
      <c r="E118" s="81"/>
      <c r="F118" s="1"/>
      <c r="G118" s="62"/>
      <c r="H118" s="141" t="s">
        <v>29</v>
      </c>
      <c r="I118" s="646" t="s">
        <v>4835</v>
      </c>
      <c r="J118" s="2096">
        <f>IF($P$67=0,0,P118/$P$67)</f>
        <v>1</v>
      </c>
      <c r="K118" s="1034">
        <f>SUM(K116:K117)+HF49</f>
        <v>0</v>
      </c>
      <c r="L118" s="1034">
        <f>SUM(L116:L117)+HG49</f>
        <v>0</v>
      </c>
      <c r="M118" s="1034">
        <f>SUM(M116:M117)+HH49</f>
        <v>38</v>
      </c>
      <c r="N118" s="1034">
        <f>SUM(N116:N117)+HI49</f>
        <v>19</v>
      </c>
      <c r="O118" s="1034">
        <f>SUM(O116:O117)+HJ49</f>
        <v>19</v>
      </c>
      <c r="P118" s="1034">
        <f t="shared" si="361"/>
        <v>76</v>
      </c>
      <c r="S118" s="3488"/>
      <c r="T118" s="3489"/>
      <c r="U118" s="3489"/>
      <c r="V118" s="3489"/>
      <c r="W118" s="3490"/>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1" t="s">
        <v>1335</v>
      </c>
      <c r="F119" s="3511"/>
      <c r="G119" s="62"/>
      <c r="H119" s="81" t="s">
        <v>1341</v>
      </c>
      <c r="I119" s="29"/>
      <c r="J119" s="62"/>
      <c r="K119" s="1065">
        <f>HK49</f>
        <v>0</v>
      </c>
      <c r="L119" s="1066">
        <f>HL49</f>
        <v>0</v>
      </c>
      <c r="M119" s="1066">
        <f>HM49</f>
        <v>0</v>
      </c>
      <c r="N119" s="1066">
        <f>HN49</f>
        <v>0</v>
      </c>
      <c r="O119" s="1067">
        <f>HO49</f>
        <v>0</v>
      </c>
      <c r="P119" s="736">
        <f t="shared" si="361"/>
        <v>0</v>
      </c>
      <c r="S119" s="3488"/>
      <c r="T119" s="3489"/>
      <c r="U119" s="3489"/>
      <c r="V119" s="3489"/>
      <c r="W119" s="3490"/>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1"/>
      <c r="F120" s="3511"/>
      <c r="G120" s="62"/>
      <c r="H120" s="81" t="s">
        <v>290</v>
      </c>
      <c r="I120" s="29"/>
      <c r="J120" s="62"/>
      <c r="K120" s="1071">
        <f>HP49</f>
        <v>0</v>
      </c>
      <c r="L120" s="1072">
        <f>HQ49</f>
        <v>0</v>
      </c>
      <c r="M120" s="1072">
        <f>HR49</f>
        <v>0</v>
      </c>
      <c r="N120" s="1072">
        <f>HS49</f>
        <v>0</v>
      </c>
      <c r="O120" s="1073">
        <f>HT49</f>
        <v>0</v>
      </c>
      <c r="P120" s="733">
        <f t="shared" si="361"/>
        <v>0</v>
      </c>
      <c r="S120" s="3488"/>
      <c r="T120" s="3489"/>
      <c r="U120" s="3489"/>
      <c r="V120" s="3489"/>
      <c r="W120" s="3490"/>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88"/>
      <c r="T121" s="3489"/>
      <c r="U121" s="3489"/>
      <c r="V121" s="3489"/>
      <c r="W121" s="3490"/>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88"/>
      <c r="T122" s="3489"/>
      <c r="U122" s="3489"/>
      <c r="V122" s="3489"/>
      <c r="W122" s="3490"/>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2" t="str">
        <f>IF(AND('Part III-A-Uses of Funds'!$T$179="Yes",'Part VIII Scoring Criteria'!$O$339&gt;0,P123&lt;1),"SHOW HISTORIC UNITS HERE &gt;&gt;&gt;&gt;","")</f>
        <v/>
      </c>
      <c r="B123" s="3512"/>
      <c r="C123" s="3512"/>
      <c r="D123" s="3512"/>
      <c r="E123" s="382" t="s">
        <v>2937</v>
      </c>
      <c r="F123" s="1"/>
      <c r="G123" s="147"/>
      <c r="H123" s="87"/>
      <c r="I123" s="62"/>
      <c r="J123" s="62"/>
      <c r="K123" s="467"/>
      <c r="L123" s="467"/>
      <c r="M123" s="467"/>
      <c r="N123" s="467"/>
      <c r="O123" s="467"/>
      <c r="P123" s="463">
        <f t="shared" si="361"/>
        <v>0</v>
      </c>
      <c r="S123" s="3488"/>
      <c r="T123" s="3489"/>
      <c r="U123" s="3489"/>
      <c r="V123" s="3489"/>
      <c r="W123" s="3490"/>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8"/>
      <c r="T124" s="3489"/>
      <c r="U124" s="3489"/>
      <c r="V124" s="3489"/>
      <c r="W124" s="3490"/>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6" t="s">
        <v>4827</v>
      </c>
      <c r="D127" s="3506"/>
      <c r="E127" s="81" t="s">
        <v>4767</v>
      </c>
      <c r="F127" s="1"/>
      <c r="G127" s="147"/>
      <c r="H127" s="87"/>
      <c r="I127" s="62"/>
      <c r="J127" s="62"/>
      <c r="K127" s="2460" t="s">
        <v>2644</v>
      </c>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6"/>
      <c r="D128" s="3506"/>
      <c r="E128" s="81"/>
      <c r="K128" s="2461" t="s">
        <v>2644</v>
      </c>
      <c r="L128" s="3506" t="s">
        <v>4831</v>
      </c>
      <c r="M128" s="3506"/>
      <c r="N128" s="3506"/>
      <c r="O128" s="3506"/>
      <c r="P128" s="350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6"/>
      <c r="D129" s="3506"/>
      <c r="E129" s="81"/>
      <c r="K129" s="464"/>
      <c r="L129" s="3506"/>
      <c r="M129" s="3506"/>
      <c r="N129" s="3506"/>
      <c r="O129" s="3506"/>
      <c r="P129" s="350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5" t="s">
        <v>4389</v>
      </c>
      <c r="D131" s="3505"/>
      <c r="E131" s="895" t="s">
        <v>36</v>
      </c>
      <c r="F131" s="754"/>
      <c r="G131" s="896"/>
      <c r="H131" s="1378"/>
      <c r="I131" s="897"/>
      <c r="J131" s="898"/>
      <c r="K131" s="1086">
        <f t="shared" ref="K131:P131" si="362">SUM(K132:K139)</f>
        <v>0</v>
      </c>
      <c r="L131" s="1087">
        <f t="shared" si="362"/>
        <v>0</v>
      </c>
      <c r="M131" s="1087">
        <f t="shared" si="362"/>
        <v>0</v>
      </c>
      <c r="N131" s="1087">
        <f t="shared" si="362"/>
        <v>0</v>
      </c>
      <c r="O131" s="1088">
        <f t="shared" si="362"/>
        <v>0</v>
      </c>
      <c r="P131" s="1037">
        <f t="shared" si="362"/>
        <v>0</v>
      </c>
      <c r="S131" s="3508"/>
      <c r="T131" s="3509"/>
      <c r="U131" s="3509"/>
      <c r="V131" s="3509"/>
      <c r="W131" s="351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6"/>
      <c r="D132" s="3506"/>
      <c r="E132" s="81"/>
      <c r="F132" s="1"/>
      <c r="G132" s="62"/>
      <c r="H132" s="1342" t="s">
        <v>4189</v>
      </c>
      <c r="I132" s="33"/>
      <c r="J132" s="899"/>
      <c r="K132" s="1068">
        <f>JS49</f>
        <v>0</v>
      </c>
      <c r="L132" s="1069">
        <f>JT49</f>
        <v>0</v>
      </c>
      <c r="M132" s="1069">
        <f>JU49</f>
        <v>0</v>
      </c>
      <c r="N132" s="1069">
        <f>JV49</f>
        <v>0</v>
      </c>
      <c r="O132" s="1070">
        <f>JW49</f>
        <v>0</v>
      </c>
      <c r="P132" s="732">
        <f t="shared" ref="P132:P147" si="363">SUM(K132:O132)</f>
        <v>0</v>
      </c>
      <c r="S132" s="3488"/>
      <c r="T132" s="3489"/>
      <c r="U132" s="3489"/>
      <c r="V132" s="3489"/>
      <c r="W132" s="3490"/>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6"/>
      <c r="D133" s="3506"/>
      <c r="E133" s="81"/>
      <c r="F133" s="1"/>
      <c r="G133" s="62"/>
      <c r="H133" s="1379" t="s">
        <v>2925</v>
      </c>
      <c r="I133" s="73"/>
      <c r="J133" s="899"/>
      <c r="K133" s="1603">
        <f>KC49</f>
        <v>0</v>
      </c>
      <c r="L133" s="1604">
        <f>KD49</f>
        <v>0</v>
      </c>
      <c r="M133" s="1604">
        <f>KE49</f>
        <v>0</v>
      </c>
      <c r="N133" s="1604">
        <f>KF49</f>
        <v>0</v>
      </c>
      <c r="O133" s="1605">
        <f>KG49</f>
        <v>0</v>
      </c>
      <c r="P133" s="1615">
        <f t="shared" si="363"/>
        <v>0</v>
      </c>
      <c r="S133" s="3488"/>
      <c r="T133" s="3489"/>
      <c r="U133" s="3489"/>
      <c r="V133" s="3489"/>
      <c r="W133" s="3490"/>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6"/>
      <c r="D134" s="3506"/>
      <c r="E134" s="81"/>
      <c r="F134" s="1"/>
      <c r="G134" s="62"/>
      <c r="H134" s="1342" t="s">
        <v>4376</v>
      </c>
      <c r="I134" s="33"/>
      <c r="J134" s="899"/>
      <c r="K134" s="1068">
        <f>JX49</f>
        <v>0</v>
      </c>
      <c r="L134" s="1069">
        <f>JY49</f>
        <v>0</v>
      </c>
      <c r="M134" s="1069">
        <f>JZ49</f>
        <v>0</v>
      </c>
      <c r="N134" s="1069">
        <f>KA49</f>
        <v>0</v>
      </c>
      <c r="O134" s="1070">
        <f>KB49</f>
        <v>0</v>
      </c>
      <c r="P134" s="732">
        <f t="shared" si="363"/>
        <v>0</v>
      </c>
      <c r="S134" s="3488"/>
      <c r="T134" s="3489"/>
      <c r="U134" s="3489"/>
      <c r="V134" s="3489"/>
      <c r="W134" s="3490"/>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6"/>
      <c r="D135" s="3506"/>
      <c r="E135" s="81"/>
      <c r="F135" s="1"/>
      <c r="G135" s="62"/>
      <c r="H135" s="1379" t="s">
        <v>2925</v>
      </c>
      <c r="I135" s="73"/>
      <c r="J135" s="899"/>
      <c r="K135" s="1603">
        <f>KH49</f>
        <v>0</v>
      </c>
      <c r="L135" s="1604">
        <f>KI49</f>
        <v>0</v>
      </c>
      <c r="M135" s="1604">
        <f>KJ49</f>
        <v>0</v>
      </c>
      <c r="N135" s="1604">
        <f>KK49</f>
        <v>0</v>
      </c>
      <c r="O135" s="1605">
        <f>KL49</f>
        <v>0</v>
      </c>
      <c r="P135" s="1615">
        <f t="shared" si="363"/>
        <v>0</v>
      </c>
      <c r="S135" s="3488"/>
      <c r="T135" s="3489"/>
      <c r="U135" s="3489"/>
      <c r="V135" s="3489"/>
      <c r="W135" s="3490"/>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6"/>
      <c r="D136" s="3506"/>
      <c r="E136" s="81"/>
      <c r="F136" s="1"/>
      <c r="G136" s="62"/>
      <c r="H136" s="1342" t="s">
        <v>4191</v>
      </c>
      <c r="I136" s="33"/>
      <c r="J136" s="62"/>
      <c r="K136" s="1092">
        <f>KM49</f>
        <v>0</v>
      </c>
      <c r="L136" s="1093">
        <f>KN49</f>
        <v>0</v>
      </c>
      <c r="M136" s="1093">
        <f>KO49</f>
        <v>0</v>
      </c>
      <c r="N136" s="1093">
        <f>KP49</f>
        <v>0</v>
      </c>
      <c r="O136" s="1094">
        <f>KQ49</f>
        <v>0</v>
      </c>
      <c r="P136" s="468">
        <f t="shared" si="363"/>
        <v>0</v>
      </c>
      <c r="S136" s="3488"/>
      <c r="T136" s="3489"/>
      <c r="U136" s="3489"/>
      <c r="V136" s="3489"/>
      <c r="W136" s="3490"/>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6"/>
      <c r="D137" s="3506"/>
      <c r="E137" s="81"/>
      <c r="F137" s="1"/>
      <c r="G137" s="62"/>
      <c r="H137" s="1379" t="s">
        <v>2925</v>
      </c>
      <c r="I137" s="73"/>
      <c r="J137" s="62"/>
      <c r="K137" s="1611">
        <f>KW49</f>
        <v>0</v>
      </c>
      <c r="L137" s="1612">
        <f>KX49</f>
        <v>0</v>
      </c>
      <c r="M137" s="1612">
        <f>KY49</f>
        <v>0</v>
      </c>
      <c r="N137" s="1612">
        <f>KZ49</f>
        <v>0</v>
      </c>
      <c r="O137" s="1613">
        <f>LA49</f>
        <v>0</v>
      </c>
      <c r="P137" s="1614">
        <f t="shared" si="363"/>
        <v>0</v>
      </c>
      <c r="S137" s="3488"/>
      <c r="T137" s="3489"/>
      <c r="U137" s="3489"/>
      <c r="V137" s="3489"/>
      <c r="W137" s="3490"/>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6"/>
      <c r="D138" s="3506"/>
      <c r="E138" s="81"/>
      <c r="F138" s="1"/>
      <c r="G138" s="62"/>
      <c r="H138" s="1342" t="s">
        <v>4383</v>
      </c>
      <c r="I138" s="33"/>
      <c r="J138" s="62"/>
      <c r="K138" s="1092">
        <f>KR49</f>
        <v>0</v>
      </c>
      <c r="L138" s="1093">
        <f>KS49</f>
        <v>0</v>
      </c>
      <c r="M138" s="1093">
        <f>KT49</f>
        <v>0</v>
      </c>
      <c r="N138" s="1093">
        <f>KU49</f>
        <v>0</v>
      </c>
      <c r="O138" s="1094">
        <f>KV49</f>
        <v>0</v>
      </c>
      <c r="P138" s="468">
        <f t="shared" si="363"/>
        <v>0</v>
      </c>
      <c r="S138" s="3488"/>
      <c r="T138" s="3489"/>
      <c r="U138" s="3489"/>
      <c r="V138" s="3489"/>
      <c r="W138" s="3490"/>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6"/>
      <c r="D139" s="3506"/>
      <c r="E139" s="81"/>
      <c r="F139" s="1"/>
      <c r="G139" s="62"/>
      <c r="H139" s="1379" t="s">
        <v>2925</v>
      </c>
      <c r="I139" s="73"/>
      <c r="J139" s="62"/>
      <c r="K139" s="1611">
        <f>LB49</f>
        <v>0</v>
      </c>
      <c r="L139" s="1612">
        <f>LC49</f>
        <v>0</v>
      </c>
      <c r="M139" s="1612">
        <f>LD49</f>
        <v>0</v>
      </c>
      <c r="N139" s="1612">
        <f>LE49</f>
        <v>0</v>
      </c>
      <c r="O139" s="1613">
        <f>LF49</f>
        <v>0</v>
      </c>
      <c r="P139" s="1614">
        <f t="shared" si="363"/>
        <v>0</v>
      </c>
      <c r="S139" s="3488"/>
      <c r="T139" s="3489"/>
      <c r="U139" s="3489"/>
      <c r="V139" s="3489"/>
      <c r="W139" s="3490"/>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38</v>
      </c>
      <c r="N140" s="1066">
        <f>IH49</f>
        <v>19</v>
      </c>
      <c r="O140" s="1067">
        <f>II49</f>
        <v>19</v>
      </c>
      <c r="P140" s="1599">
        <f t="shared" si="363"/>
        <v>76</v>
      </c>
      <c r="S140" s="3488"/>
      <c r="T140" s="3489"/>
      <c r="U140" s="3489"/>
      <c r="V140" s="3489"/>
      <c r="W140" s="3490"/>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8"/>
      <c r="T141" s="3489"/>
      <c r="U141" s="3489"/>
      <c r="V141" s="3489"/>
      <c r="W141" s="3490"/>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88"/>
      <c r="T142" s="3489"/>
      <c r="U142" s="3489"/>
      <c r="V142" s="3489"/>
      <c r="W142" s="3490"/>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8"/>
      <c r="T143" s="3489"/>
      <c r="U143" s="3489"/>
      <c r="V143" s="3489"/>
      <c r="W143" s="3490"/>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88"/>
      <c r="T144" s="3489"/>
      <c r="U144" s="3489"/>
      <c r="V144" s="3489"/>
      <c r="W144" s="3490"/>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8"/>
      <c r="T145" s="3489"/>
      <c r="U145" s="3489"/>
      <c r="V145" s="3489"/>
      <c r="W145" s="3490"/>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8"/>
      <c r="T146" s="3489"/>
      <c r="U146" s="3489"/>
      <c r="V146" s="3489"/>
      <c r="W146" s="3490"/>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501" t="str">
        <f>$O$53</f>
        <v>40% of Units at 60% of AMI</v>
      </c>
      <c r="M149" s="3502"/>
      <c r="N149" s="3502"/>
      <c r="O149" s="3503"/>
      <c r="P149" s="62"/>
      <c r="S149" s="3504" t="str">
        <f>B149</f>
        <v>UNIT SUMMARY (Continued)</v>
      </c>
      <c r="T149" s="3504"/>
      <c r="U149" s="3504"/>
      <c r="V149" s="350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5" t="s">
        <v>4390</v>
      </c>
      <c r="D151" s="3505"/>
      <c r="E151" s="895" t="s">
        <v>2920</v>
      </c>
      <c r="F151" s="896"/>
      <c r="G151" s="897"/>
      <c r="H151" s="1380"/>
      <c r="I151" s="900"/>
      <c r="J151" s="898"/>
      <c r="K151" s="1095">
        <f t="shared" ref="K151:O152" si="364">K140+K144+K146</f>
        <v>0</v>
      </c>
      <c r="L151" s="1096">
        <f>L140+L144+L146</f>
        <v>0</v>
      </c>
      <c r="M151" s="1096">
        <f t="shared" si="364"/>
        <v>38</v>
      </c>
      <c r="N151" s="1096">
        <f t="shared" si="364"/>
        <v>19</v>
      </c>
      <c r="O151" s="1097">
        <f t="shared" si="364"/>
        <v>19</v>
      </c>
      <c r="P151" s="1599">
        <f t="shared" ref="P151:P158" si="365">SUM(K151:O151)</f>
        <v>76</v>
      </c>
      <c r="S151" s="3508"/>
      <c r="T151" s="3509"/>
      <c r="U151" s="3509"/>
      <c r="V151" s="3509"/>
      <c r="W151" s="351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6"/>
      <c r="D152" s="3506"/>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8"/>
      <c r="T152" s="3489"/>
      <c r="U152" s="3489"/>
      <c r="V152" s="3489"/>
      <c r="W152" s="3490"/>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6"/>
      <c r="D153" s="3506"/>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8"/>
      <c r="T153" s="3489"/>
      <c r="U153" s="3489"/>
      <c r="V153" s="3489"/>
      <c r="W153" s="3490"/>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6"/>
      <c r="D154" s="3506"/>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8"/>
      <c r="T154" s="3489"/>
      <c r="U154" s="3489"/>
      <c r="V154" s="3489"/>
      <c r="W154" s="3490"/>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6"/>
      <c r="D155" s="3506"/>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88"/>
      <c r="T155" s="3489"/>
      <c r="U155" s="3489"/>
      <c r="V155" s="3489"/>
      <c r="W155" s="3490"/>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6"/>
      <c r="D156" s="3506"/>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8"/>
      <c r="T156" s="3489"/>
      <c r="U156" s="3489"/>
      <c r="V156" s="3489"/>
      <c r="W156" s="3490"/>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6"/>
      <c r="D157" s="3506"/>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8"/>
      <c r="T157" s="3489"/>
      <c r="U157" s="3489"/>
      <c r="V157" s="3489"/>
      <c r="W157" s="3490"/>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7"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7"/>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07"/>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8"/>
      <c r="T161" s="3509"/>
      <c r="U161" s="3509"/>
      <c r="V161" s="3509"/>
      <c r="W161" s="351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88"/>
      <c r="T162" s="3489"/>
      <c r="U162" s="3489"/>
      <c r="V162" s="3489"/>
      <c r="W162" s="3490"/>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32040</v>
      </c>
      <c r="N163" s="1105">
        <f>EV49</f>
        <v>19875</v>
      </c>
      <c r="O163" s="1106">
        <f>EW49</f>
        <v>21085</v>
      </c>
      <c r="P163" s="1029">
        <f t="shared" si="368"/>
        <v>73000</v>
      </c>
      <c r="Q163" s="1228">
        <f t="shared" si="369"/>
        <v>1216.6666666666667</v>
      </c>
      <c r="S163" s="3488"/>
      <c r="T163" s="3489"/>
      <c r="U163" s="3489"/>
      <c r="V163" s="3489"/>
      <c r="W163" s="3490"/>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8544</v>
      </c>
      <c r="N164" s="1165">
        <f>FA49</f>
        <v>5300</v>
      </c>
      <c r="O164" s="1166">
        <f>FB49</f>
        <v>5591</v>
      </c>
      <c r="P164" s="1167">
        <f t="shared" si="368"/>
        <v>19435</v>
      </c>
      <c r="Q164" s="1228">
        <f t="shared" si="369"/>
        <v>1214.6875</v>
      </c>
      <c r="S164" s="3488"/>
      <c r="T164" s="3489"/>
      <c r="U164" s="3489"/>
      <c r="V164" s="3489"/>
      <c r="W164" s="3490"/>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88"/>
      <c r="T165" s="3489"/>
      <c r="U165" s="3489"/>
      <c r="V165" s="3489"/>
      <c r="W165" s="3490"/>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88"/>
      <c r="T166" s="3489"/>
      <c r="U166" s="3489"/>
      <c r="V166" s="3489"/>
      <c r="W166" s="3490"/>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88"/>
      <c r="T167" s="3489"/>
      <c r="U167" s="3489"/>
      <c r="V167" s="3489"/>
      <c r="W167" s="3490"/>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0</v>
      </c>
      <c r="M168" s="1602">
        <f>SUM(M161:M167)</f>
        <v>40584</v>
      </c>
      <c r="N168" s="1602">
        <f>SUM(N161:N167)</f>
        <v>25175</v>
      </c>
      <c r="O168" s="1602">
        <f>SUM(O161:O167)</f>
        <v>26676</v>
      </c>
      <c r="P168" s="1602">
        <f>SUM(K168:O168)</f>
        <v>92435</v>
      </c>
      <c r="S168" s="3488"/>
      <c r="T168" s="3489"/>
      <c r="U168" s="3489"/>
      <c r="V168" s="3489"/>
      <c r="W168" s="3490"/>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8"/>
      <c r="T169" s="3489"/>
      <c r="U169" s="3489"/>
      <c r="V169" s="3489"/>
      <c r="W169" s="3490"/>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0</v>
      </c>
      <c r="M170" s="1601">
        <f>SUM(M168:M169)</f>
        <v>40584</v>
      </c>
      <c r="N170" s="1601">
        <f>SUM(N168:N169)</f>
        <v>25175</v>
      </c>
      <c r="O170" s="1601">
        <f>SUM(O168:O169)</f>
        <v>26676</v>
      </c>
      <c r="P170" s="1601">
        <f>SUM(K170:O170)</f>
        <v>92435</v>
      </c>
      <c r="S170" s="3488"/>
      <c r="T170" s="3489"/>
      <c r="U170" s="3489"/>
      <c r="V170" s="3489"/>
      <c r="W170" s="3490"/>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8"/>
      <c r="T171" s="3489"/>
      <c r="U171" s="3489"/>
      <c r="V171" s="3489"/>
      <c r="W171" s="3490"/>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0</v>
      </c>
      <c r="M172" s="1035">
        <f>SUM(M170:M171)</f>
        <v>40584</v>
      </c>
      <c r="N172" s="1035">
        <f>SUM(N170:N171)</f>
        <v>25175</v>
      </c>
      <c r="O172" s="1035">
        <f>SUM(O170:O171)</f>
        <v>26676</v>
      </c>
      <c r="P172" s="1035">
        <f>SUM(K172:O172)</f>
        <v>92435</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t="str">
        <f>IF(OR(L67="",L67=0),"",L172/L67)</f>
        <v/>
      </c>
      <c r="M175" s="1227">
        <f>IF(OR(M67="",M67=0),"",M172/M67)</f>
        <v>1068</v>
      </c>
      <c r="N175" s="1227">
        <f>IF(OR(N67="",N67=0),"",N172/N67)</f>
        <v>1325</v>
      </c>
      <c r="O175" s="1227">
        <f>IF(OR(O67="",O67=0),"",O172/O67)</f>
        <v>1404</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551">
        <v>3222</v>
      </c>
      <c r="L178" s="355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3">
        <f>P172+K178</f>
        <v>95657</v>
      </c>
      <c r="L179" s="355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7">
        <f>'Part VI-Pro Forma'!B10*M50</f>
        <v>14779.2</v>
      </c>
      <c r="I183" s="3497"/>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8"/>
      <c r="T187" s="3509"/>
      <c r="U187" s="3509"/>
      <c r="V187" s="3509"/>
      <c r="W187" s="3510"/>
      <c r="NQ187" s="2480">
        <v>187</v>
      </c>
    </row>
    <row r="188" spans="1:493" ht="15.6" customHeight="1">
      <c r="B188" s="81" t="s">
        <v>689</v>
      </c>
      <c r="C188" s="3498"/>
      <c r="D188" s="3499"/>
      <c r="E188" s="3499"/>
      <c r="F188" s="3500"/>
      <c r="H188" s="694"/>
      <c r="I188" s="694"/>
      <c r="J188" s="694"/>
      <c r="K188" s="694"/>
      <c r="L188" s="695"/>
      <c r="M188" s="694"/>
      <c r="N188" s="694"/>
      <c r="O188" s="694"/>
      <c r="P188" s="694"/>
      <c r="Q188" s="694"/>
      <c r="R188" s="662"/>
      <c r="S188" s="3488"/>
      <c r="T188" s="3489"/>
      <c r="U188" s="3489"/>
      <c r="V188" s="3489"/>
      <c r="W188" s="3490"/>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8"/>
      <c r="T191" s="3509"/>
      <c r="U191" s="3509"/>
      <c r="V191" s="3509"/>
      <c r="W191" s="3510"/>
      <c r="NQ191" s="2482">
        <v>191</v>
      </c>
    </row>
    <row r="192" spans="1:493" ht="15.6" customHeight="1">
      <c r="B192" s="81" t="s">
        <v>689</v>
      </c>
      <c r="C192" s="3498"/>
      <c r="D192" s="3499"/>
      <c r="E192" s="3499"/>
      <c r="F192" s="3500"/>
      <c r="H192" s="694"/>
      <c r="I192" s="694"/>
      <c r="J192" s="694"/>
      <c r="K192" s="694"/>
      <c r="L192" s="695"/>
      <c r="M192" s="694"/>
      <c r="N192" s="694"/>
      <c r="O192" s="694"/>
      <c r="P192" s="694"/>
      <c r="Q192" s="694"/>
      <c r="R192" s="662"/>
      <c r="S192" s="3488"/>
      <c r="T192" s="3489"/>
      <c r="U192" s="3489"/>
      <c r="V192" s="3489"/>
      <c r="W192" s="3490"/>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8"/>
      <c r="T196" s="3509"/>
      <c r="U196" s="3509"/>
      <c r="V196" s="3509"/>
      <c r="W196" s="351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8"/>
      <c r="D197" s="3499"/>
      <c r="E197" s="3499"/>
      <c r="F197" s="3500"/>
      <c r="H197" s="694"/>
      <c r="I197" s="694"/>
      <c r="J197" s="694"/>
      <c r="K197" s="694"/>
      <c r="L197" s="695"/>
      <c r="M197" s="694"/>
      <c r="N197" s="694"/>
      <c r="O197" s="694"/>
      <c r="P197" s="694"/>
      <c r="Q197" s="694"/>
      <c r="R197" s="662"/>
      <c r="S197" s="3488"/>
      <c r="T197" s="3489"/>
      <c r="U197" s="3489"/>
      <c r="V197" s="3489"/>
      <c r="W197" s="3490"/>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8"/>
      <c r="T200" s="3509"/>
      <c r="U200" s="3509"/>
      <c r="V200" s="3509"/>
      <c r="W200" s="351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8"/>
      <c r="D201" s="3499"/>
      <c r="E201" s="3499"/>
      <c r="F201" s="3500"/>
      <c r="H201" s="694"/>
      <c r="I201" s="694"/>
      <c r="J201" s="694"/>
      <c r="K201" s="694"/>
      <c r="L201" s="695"/>
      <c r="M201" s="694"/>
      <c r="N201" s="694"/>
      <c r="O201" s="694"/>
      <c r="P201" s="694"/>
      <c r="Q201" s="694"/>
      <c r="R201" s="662"/>
      <c r="S201" s="3488"/>
      <c r="T201" s="3489"/>
      <c r="U201" s="3489"/>
      <c r="V201" s="3489"/>
      <c r="W201" s="349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8"/>
      <c r="T205" s="3509"/>
      <c r="U205" s="3509"/>
      <c r="V205" s="3509"/>
      <c r="W205" s="351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8"/>
      <c r="D206" s="3499"/>
      <c r="E206" s="3499"/>
      <c r="F206" s="3500"/>
      <c r="H206" s="694"/>
      <c r="I206" s="694"/>
      <c r="J206" s="694"/>
      <c r="K206" s="694"/>
      <c r="L206" s="695"/>
      <c r="M206" s="694"/>
      <c r="N206" s="694"/>
      <c r="O206" s="694"/>
      <c r="P206" s="694"/>
      <c r="Q206" s="694"/>
      <c r="R206" s="662"/>
      <c r="S206" s="3488"/>
      <c r="T206" s="3489"/>
      <c r="U206" s="3489"/>
      <c r="V206" s="3489"/>
      <c r="W206" s="3490"/>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8"/>
      <c r="T209" s="3509"/>
      <c r="U209" s="3509"/>
      <c r="V209" s="3509"/>
      <c r="W209" s="351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8"/>
      <c r="D210" s="3499"/>
      <c r="E210" s="3499"/>
      <c r="F210" s="3500"/>
      <c r="H210" s="694"/>
      <c r="I210" s="694"/>
      <c r="J210" s="694"/>
      <c r="K210" s="694"/>
      <c r="L210" s="695"/>
      <c r="M210" s="694"/>
      <c r="N210" s="694"/>
      <c r="O210" s="694"/>
      <c r="P210" s="694"/>
      <c r="Q210" s="694"/>
      <c r="R210" s="662"/>
      <c r="S210" s="3488"/>
      <c r="T210" s="3489"/>
      <c r="U210" s="3489"/>
      <c r="V210" s="3489"/>
      <c r="W210" s="3490"/>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8"/>
      <c r="T214" s="3509"/>
      <c r="U214" s="3509"/>
      <c r="V214" s="3509"/>
      <c r="W214" s="3510"/>
      <c r="NQ214" s="2482">
        <v>214</v>
      </c>
    </row>
    <row r="215" spans="1:493" ht="15.6" customHeight="1">
      <c r="B215" s="81" t="s">
        <v>689</v>
      </c>
      <c r="C215" s="3498"/>
      <c r="D215" s="3499"/>
      <c r="E215" s="3499"/>
      <c r="F215" s="3500"/>
      <c r="H215" s="694"/>
      <c r="I215" s="694"/>
      <c r="J215" s="694"/>
      <c r="K215" s="694"/>
      <c r="L215" s="695"/>
      <c r="M215" s="68"/>
      <c r="N215" s="68"/>
      <c r="O215" s="68"/>
      <c r="P215" s="68"/>
      <c r="Q215" s="68"/>
      <c r="R215" s="6"/>
      <c r="S215" s="3488"/>
      <c r="T215" s="3489"/>
      <c r="U215" s="3489"/>
      <c r="V215" s="3489"/>
      <c r="W215" s="3490"/>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8"/>
      <c r="T218" s="3509"/>
      <c r="U218" s="3509"/>
      <c r="V218" s="3509"/>
      <c r="W218" s="3510"/>
      <c r="NQ218" s="2483">
        <v>218</v>
      </c>
    </row>
    <row r="219" spans="1:493" ht="15.6" customHeight="1">
      <c r="B219" s="81" t="s">
        <v>689</v>
      </c>
      <c r="C219" s="3498"/>
      <c r="D219" s="3499"/>
      <c r="E219" s="3499"/>
      <c r="F219" s="3500"/>
      <c r="H219" s="694"/>
      <c r="I219" s="694"/>
      <c r="J219" s="694"/>
      <c r="K219" s="694"/>
      <c r="L219" s="695"/>
      <c r="M219" s="68"/>
      <c r="N219" s="68"/>
      <c r="O219" s="68"/>
      <c r="P219" s="68"/>
      <c r="Q219" s="68"/>
      <c r="R219" s="6"/>
      <c r="S219" s="3488"/>
      <c r="T219" s="3489"/>
      <c r="U219" s="3489"/>
      <c r="V219" s="3489"/>
      <c r="W219" s="3490"/>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42864</v>
      </c>
      <c r="R224" s="1"/>
      <c r="S224" s="3508"/>
      <c r="T224" s="3509"/>
      <c r="U224" s="3509"/>
      <c r="V224" s="3509"/>
      <c r="W224" s="351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9">
        <v>54000</v>
      </c>
      <c r="G225" s="3550"/>
      <c r="H225" s="1"/>
      <c r="I225" s="1" t="s">
        <v>1298</v>
      </c>
      <c r="K225" s="1"/>
      <c r="L225" s="3549"/>
      <c r="M225" s="3550"/>
      <c r="N225" s="1"/>
      <c r="O225" s="318">
        <f>+Q224/(P67*0.93)</f>
        <v>606.45161290322574</v>
      </c>
      <c r="P225" s="42" t="s">
        <v>2477</v>
      </c>
      <c r="Q225" s="1"/>
      <c r="R225" s="662"/>
      <c r="S225" s="3488"/>
      <c r="T225" s="3489"/>
      <c r="U225" s="3489"/>
      <c r="V225" s="3489"/>
      <c r="W225" s="3490"/>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4">
        <v>54000</v>
      </c>
      <c r="G226" s="3485"/>
      <c r="H226" s="1"/>
      <c r="I226" s="1" t="s">
        <v>1299</v>
      </c>
      <c r="K226" s="1"/>
      <c r="L226" s="3495">
        <v>600</v>
      </c>
      <c r="M226" s="3496"/>
      <c r="N226" s="1"/>
      <c r="O226" s="318">
        <f>+Q224/(P67*0.93)/12</f>
        <v>50.537634408602145</v>
      </c>
      <c r="P226" s="42" t="s">
        <v>2478</v>
      </c>
      <c r="Q226" s="1"/>
      <c r="R226" s="662"/>
      <c r="S226" s="3488"/>
      <c r="T226" s="3489"/>
      <c r="U226" s="3489"/>
      <c r="V226" s="3489"/>
      <c r="W226" s="3490"/>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4"/>
      <c r="G227" s="3485"/>
      <c r="H227" s="1"/>
      <c r="I227" s="1"/>
      <c r="K227" s="8" t="s">
        <v>184</v>
      </c>
      <c r="L227" s="3475">
        <f>SUM(L225:M226)</f>
        <v>600</v>
      </c>
      <c r="M227" s="3476"/>
      <c r="N227" s="1"/>
      <c r="O227" s="29" t="s">
        <v>3138</v>
      </c>
      <c r="P227" s="103"/>
      <c r="Q227" s="103"/>
      <c r="R227" s="662"/>
      <c r="S227" s="3488"/>
      <c r="T227" s="3489"/>
      <c r="U227" s="3489"/>
      <c r="V227" s="3489"/>
      <c r="W227" s="3490"/>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84"/>
      <c r="G228" s="3485"/>
      <c r="H228" s="1"/>
      <c r="I228" s="1"/>
      <c r="K228" s="1"/>
      <c r="L228" s="1"/>
      <c r="M228" s="1"/>
      <c r="N228" s="1"/>
      <c r="R228" s="659"/>
      <c r="S228" s="3488"/>
      <c r="T228" s="3489"/>
      <c r="U228" s="3489"/>
      <c r="V228" s="3489"/>
      <c r="W228" s="3490"/>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84"/>
      <c r="G229" s="3485"/>
      <c r="H229" s="1"/>
      <c r="I229" s="1"/>
      <c r="K229" s="1"/>
      <c r="L229" s="1"/>
      <c r="M229" s="1"/>
      <c r="N229" s="1"/>
      <c r="R229" s="659"/>
      <c r="S229" s="3488"/>
      <c r="T229" s="3489"/>
      <c r="U229" s="3489"/>
      <c r="V229" s="3489"/>
      <c r="W229" s="3490"/>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5" t="s">
        <v>46</v>
      </c>
      <c r="C230" s="3456"/>
      <c r="D230" s="3456"/>
      <c r="E230" s="3457"/>
      <c r="F230" s="3495"/>
      <c r="G230" s="3496"/>
      <c r="H230" s="1"/>
      <c r="I230" s="4" t="s">
        <v>1213</v>
      </c>
      <c r="K230" s="1"/>
      <c r="L230" s="1"/>
      <c r="M230" s="1"/>
      <c r="N230" s="1"/>
      <c r="R230" s="659"/>
      <c r="S230" s="3488"/>
      <c r="T230" s="3489"/>
      <c r="U230" s="3489"/>
      <c r="V230" s="3489"/>
      <c r="W230" s="3490"/>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5">
        <f>SUM(F225:G230)</f>
        <v>108000</v>
      </c>
      <c r="G231" s="3476"/>
      <c r="H231" s="1"/>
      <c r="I231" s="1" t="s">
        <v>1495</v>
      </c>
      <c r="K231" s="1"/>
      <c r="L231" s="3486">
        <v>1500</v>
      </c>
      <c r="M231" s="3487"/>
      <c r="N231" s="1"/>
      <c r="R231" s="1"/>
      <c r="S231" s="3488"/>
      <c r="T231" s="3489"/>
      <c r="U231" s="3489"/>
      <c r="V231" s="3489"/>
      <c r="W231" s="3490"/>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2">
        <v>8500</v>
      </c>
      <c r="M232" s="3483"/>
      <c r="N232" s="3473" t="str">
        <f>IF(Q234="","",IF(Q232&lt;Q234, "WARNING! OE may be below required minimum.",""))</f>
        <v/>
      </c>
      <c r="O232" s="4" t="s">
        <v>2024</v>
      </c>
      <c r="P232" s="1"/>
      <c r="Q232" s="325">
        <f>F231+F240+F251+L227+L235+L245+L251+Q224</f>
        <v>347964</v>
      </c>
      <c r="R232" s="1"/>
      <c r="S232" s="3488"/>
      <c r="T232" s="3489"/>
      <c r="U232" s="3489"/>
      <c r="V232" s="3489"/>
      <c r="W232" s="3490"/>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2">
        <v>1500</v>
      </c>
      <c r="M233" s="3483"/>
      <c r="N233" s="3473"/>
      <c r="O233" s="42" t="s">
        <v>2479</v>
      </c>
      <c r="P233" s="318">
        <f>+Q232/P67</f>
        <v>4578.4736842105267</v>
      </c>
      <c r="R233" s="660"/>
      <c r="S233" s="3488"/>
      <c r="T233" s="3489"/>
      <c r="U233" s="3489"/>
      <c r="V233" s="3489"/>
      <c r="W233" s="3490"/>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9">
        <v>2000</v>
      </c>
      <c r="G234" s="3550"/>
      <c r="H234" s="1"/>
      <c r="I234" s="3458" t="s">
        <v>46</v>
      </c>
      <c r="J234" s="3459"/>
      <c r="K234" s="3460"/>
      <c r="L234" s="3493"/>
      <c r="M234" s="3494"/>
      <c r="N234" s="3473"/>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247000</v>
      </c>
      <c r="R234" s="1"/>
      <c r="S234" s="3488"/>
      <c r="T234" s="3489"/>
      <c r="U234" s="3489"/>
      <c r="V234" s="3489"/>
      <c r="W234" s="3490"/>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4">
        <v>4000</v>
      </c>
      <c r="G235" s="3485"/>
      <c r="H235" s="1"/>
      <c r="I235" s="4"/>
      <c r="K235" s="8" t="s">
        <v>184</v>
      </c>
      <c r="L235" s="3463">
        <f>SUM(L231:L234)</f>
        <v>11500</v>
      </c>
      <c r="M235" s="3545"/>
      <c r="N235" s="3473"/>
      <c r="O235" s="3548" t="s">
        <v>4832</v>
      </c>
      <c r="P235" s="3548"/>
      <c r="Q235" s="3548"/>
      <c r="R235" s="1"/>
      <c r="S235" s="3488"/>
      <c r="T235" s="3489"/>
      <c r="U235" s="3489"/>
      <c r="V235" s="3489"/>
      <c r="W235" s="3490"/>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4">
        <v>500</v>
      </c>
      <c r="G236" s="3485"/>
      <c r="H236" s="1"/>
      <c r="N236" s="1"/>
      <c r="O236" s="3548"/>
      <c r="P236" s="3548"/>
      <c r="Q236" s="3548"/>
      <c r="R236" s="876"/>
      <c r="S236" s="3488"/>
      <c r="T236" s="3489"/>
      <c r="U236" s="3489"/>
      <c r="V236" s="3489"/>
      <c r="W236" s="3490"/>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4"/>
      <c r="G237" s="3485"/>
      <c r="H237" s="1"/>
      <c r="L237" s="1"/>
      <c r="M237" s="1"/>
      <c r="N237" s="1"/>
      <c r="R237" s="876"/>
      <c r="S237" s="3488"/>
      <c r="T237" s="3489"/>
      <c r="U237" s="3489"/>
      <c r="V237" s="3489"/>
      <c r="W237" s="3490"/>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4">
        <v>13000</v>
      </c>
      <c r="G238" s="3485"/>
      <c r="H238" s="1"/>
      <c r="I238" s="4" t="s">
        <v>1295</v>
      </c>
      <c r="K238" s="248" t="s">
        <v>3760</v>
      </c>
      <c r="O238" s="1249" t="s">
        <v>3000</v>
      </c>
      <c r="P238" s="4"/>
      <c r="Q238" s="904">
        <f>Q247</f>
        <v>35720</v>
      </c>
      <c r="S238" s="3488"/>
      <c r="T238" s="3489"/>
      <c r="U238" s="3489"/>
      <c r="V238" s="3489"/>
      <c r="W238" s="3490"/>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5" t="s">
        <v>5187</v>
      </c>
      <c r="C239" s="3456"/>
      <c r="D239" s="3456"/>
      <c r="E239" s="3457"/>
      <c r="F239" s="3495">
        <v>5000</v>
      </c>
      <c r="G239" s="3496"/>
      <c r="H239" s="1"/>
      <c r="I239" s="1" t="s">
        <v>1288</v>
      </c>
      <c r="K239" s="364">
        <f>L239/12/P67</f>
        <v>11.513157894736842</v>
      </c>
      <c r="L239" s="3486">
        <v>10500</v>
      </c>
      <c r="M239" s="3487"/>
      <c r="N239" s="3473" t="str">
        <f>IF(Q238&lt;Q247, "WARNING! RR proposed is below the DCA required minimum.","")</f>
        <v/>
      </c>
      <c r="O239" s="759" t="s">
        <v>3759</v>
      </c>
      <c r="P239" s="754"/>
      <c r="Q239" s="760">
        <f>Q238/P247</f>
        <v>470</v>
      </c>
      <c r="R239" s="659"/>
      <c r="S239" s="3488"/>
      <c r="T239" s="3489"/>
      <c r="U239" s="3489"/>
      <c r="V239" s="3489"/>
      <c r="W239" s="3490"/>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5">
        <f>SUM(F234:G239)</f>
        <v>24500</v>
      </c>
      <c r="G240" s="3476"/>
      <c r="H240" s="1"/>
      <c r="I240" s="1" t="s">
        <v>1289</v>
      </c>
      <c r="K240" s="364">
        <f>L240/12/P67</f>
        <v>0</v>
      </c>
      <c r="L240" s="3482"/>
      <c r="M240" s="3483"/>
      <c r="N240" s="3474"/>
      <c r="O240" s="3477" t="s">
        <v>3145</v>
      </c>
      <c r="P240" s="3478"/>
      <c r="Q240" s="3479"/>
      <c r="S240" s="3488"/>
      <c r="T240" s="3489"/>
      <c r="U240" s="3489"/>
      <c r="V240" s="3489"/>
      <c r="W240" s="3490"/>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5.4824561403508776</v>
      </c>
      <c r="L241" s="3482">
        <v>5000</v>
      </c>
      <c r="M241" s="3483"/>
      <c r="N241" s="3474"/>
      <c r="O241" s="753" t="s">
        <v>2457</v>
      </c>
      <c r="P241" s="657" t="s">
        <v>3199</v>
      </c>
      <c r="Q241" s="755" t="s">
        <v>2971</v>
      </c>
      <c r="R241" s="1"/>
      <c r="S241" s="3488"/>
      <c r="T241" s="3489"/>
      <c r="U241" s="3489"/>
      <c r="V241" s="3489"/>
      <c r="W241" s="3490"/>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1.0964912280701753</v>
      </c>
      <c r="L242" s="3482">
        <v>1000</v>
      </c>
      <c r="M242" s="3483"/>
      <c r="N242" s="3474"/>
      <c r="O242" s="498" t="s">
        <v>36</v>
      </c>
      <c r="Q242" s="499"/>
      <c r="R242" s="660"/>
      <c r="S242" s="3488"/>
      <c r="T242" s="3489"/>
      <c r="U242" s="3489"/>
      <c r="V242" s="3489"/>
      <c r="W242" s="3490"/>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6">
        <v>8500</v>
      </c>
      <c r="G243" s="3547"/>
      <c r="H243" s="1"/>
      <c r="I243" s="72" t="s">
        <v>4576</v>
      </c>
      <c r="K243" s="364">
        <f>L243/12/P67</f>
        <v>2.1929824561403506</v>
      </c>
      <c r="L243" s="3482">
        <v>2000</v>
      </c>
      <c r="M243" s="3483"/>
      <c r="N243" s="3474"/>
      <c r="O243" s="386" t="s">
        <v>2969</v>
      </c>
      <c r="P243" s="661" t="str">
        <f>CONCATENATE(SUM(MF49:MJ49)," units x $",'DCA Underwriting Assumptions'!$Q$41," =")</f>
        <v>0 units x $400 =</v>
      </c>
      <c r="Q243" s="500">
        <f>SUM(MF49:MJ49)*'DCA Underwriting Assumptions'!$Q$41</f>
        <v>0</v>
      </c>
      <c r="R243" s="663"/>
      <c r="S243" s="3488"/>
      <c r="T243" s="3489"/>
      <c r="U243" s="3489"/>
      <c r="V243" s="3489"/>
      <c r="W243" s="3490"/>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1">
        <v>13500</v>
      </c>
      <c r="G244" s="3492"/>
      <c r="H244" s="1"/>
      <c r="I244" s="3480" t="s">
        <v>46</v>
      </c>
      <c r="J244" s="3481"/>
      <c r="K244" s="364">
        <f>L244/12/P67</f>
        <v>0</v>
      </c>
      <c r="L244" s="3493"/>
      <c r="M244" s="3494"/>
      <c r="N244" s="3474"/>
      <c r="O244" s="386" t="s">
        <v>2968</v>
      </c>
      <c r="P244" s="661" t="str">
        <f>CONCATENATE(SUM(MK49:MO49)," units x $",'DCA Underwriting Assumptions'!$Q$42," =")</f>
        <v>0 units x $300 =</v>
      </c>
      <c r="Q244" s="500">
        <f>SUM(MK49:MO49)*'DCA Underwriting Assumptions'!$Q$42</f>
        <v>0</v>
      </c>
      <c r="S244" s="3488"/>
      <c r="T244" s="3489"/>
      <c r="U244" s="3489"/>
      <c r="V244" s="3489"/>
      <c r="W244" s="3490"/>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1">
        <v>26000</v>
      </c>
      <c r="G245" s="3492"/>
      <c r="H245" s="1"/>
      <c r="K245" s="8" t="s">
        <v>184</v>
      </c>
      <c r="L245" s="3463">
        <f>SUM(L239:L244)</f>
        <v>18500</v>
      </c>
      <c r="M245" s="3545"/>
      <c r="N245" s="3474"/>
      <c r="O245" s="501" t="s">
        <v>4396</v>
      </c>
      <c r="P245" s="661" t="str">
        <f>CONCATENATE(SUM(MP49:MT49)," units x $",'DCA Underwriting Assumptions'!$Q$43," =")</f>
        <v>76 units x $470 =</v>
      </c>
      <c r="Q245" s="500">
        <f>SUM(MP49:MT49)*'DCA Underwriting Assumptions'!$Q$43</f>
        <v>35720</v>
      </c>
      <c r="R245" s="657"/>
      <c r="S245" s="3488"/>
      <c r="T245" s="3489"/>
      <c r="U245" s="3489"/>
      <c r="V245" s="3489"/>
      <c r="W245" s="3490"/>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4">
        <v>8000</v>
      </c>
      <c r="G246" s="3485"/>
      <c r="H246" s="1"/>
      <c r="O246" s="501" t="s">
        <v>2967</v>
      </c>
      <c r="P246" s="661" t="str">
        <f>CONCATENATE(P125," units x $",'DCA Underwriting Assumptions'!$Q$44," =")</f>
        <v>0 units x $420 =</v>
      </c>
      <c r="Q246" s="500">
        <f>P125*'DCA Underwriting Assumptions'!$Q$44</f>
        <v>0</v>
      </c>
      <c r="S246" s="3488"/>
      <c r="T246" s="3489"/>
      <c r="U246" s="3489"/>
      <c r="V246" s="3489"/>
      <c r="W246" s="3490"/>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4">
        <v>5000</v>
      </c>
      <c r="G247" s="3485"/>
      <c r="H247" s="1"/>
      <c r="I247" s="4" t="s">
        <v>1296</v>
      </c>
      <c r="O247" s="756" t="s">
        <v>2460</v>
      </c>
      <c r="P247" s="757">
        <f>SUM(MF49:MJ49)+SUM(MK49:MO49)+SUM(MP49:MT49)+P125</f>
        <v>76</v>
      </c>
      <c r="Q247" s="758">
        <f>SUM(Q243:Q246)</f>
        <v>35720</v>
      </c>
      <c r="R247" s="661"/>
      <c r="S247" s="3488"/>
      <c r="T247" s="3489"/>
      <c r="U247" s="3489"/>
      <c r="V247" s="3489"/>
      <c r="W247" s="3490"/>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4"/>
      <c r="G248" s="3485"/>
      <c r="H248" s="1"/>
      <c r="I248" s="72" t="s">
        <v>3805</v>
      </c>
      <c r="K248" s="1"/>
      <c r="L248" s="3486">
        <v>48000</v>
      </c>
      <c r="M248" s="3487"/>
      <c r="R248" s="661"/>
      <c r="S248" s="3488"/>
      <c r="T248" s="3489"/>
      <c r="U248" s="3489"/>
      <c r="V248" s="3489"/>
      <c r="W248" s="3490"/>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4">
        <v>3000</v>
      </c>
      <c r="G249" s="3485"/>
      <c r="H249" s="1"/>
      <c r="I249" s="1" t="s">
        <v>140</v>
      </c>
      <c r="K249" s="1"/>
      <c r="L249" s="3482">
        <v>30000</v>
      </c>
      <c r="M249" s="3483"/>
      <c r="R249" s="661"/>
      <c r="S249" s="3488"/>
      <c r="T249" s="3489"/>
      <c r="U249" s="3489"/>
      <c r="V249" s="3489"/>
      <c r="W249" s="349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5" t="s">
        <v>46</v>
      </c>
      <c r="C250" s="3456"/>
      <c r="D250" s="3456"/>
      <c r="E250" s="3457"/>
      <c r="F250" s="3495"/>
      <c r="G250" s="3496"/>
      <c r="H250" s="1"/>
      <c r="I250" s="3458" t="s">
        <v>46</v>
      </c>
      <c r="J250" s="3459"/>
      <c r="K250" s="3460"/>
      <c r="L250" s="3543"/>
      <c r="M250" s="3544"/>
      <c r="N250" s="1"/>
      <c r="R250" s="661"/>
      <c r="S250" s="3488"/>
      <c r="T250" s="3489"/>
      <c r="U250" s="3489"/>
      <c r="V250" s="3489"/>
      <c r="W250" s="349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1">
        <f>SUM(F243:G250)</f>
        <v>64000</v>
      </c>
      <c r="G251" s="3462"/>
      <c r="H251" s="1"/>
      <c r="K251" s="8" t="s">
        <v>184</v>
      </c>
      <c r="L251" s="3463">
        <f>SUM(L247:L250)</f>
        <v>78000</v>
      </c>
      <c r="M251" s="3464"/>
      <c r="N251" s="1"/>
      <c r="O251" s="4" t="s">
        <v>2025</v>
      </c>
      <c r="P251" s="1"/>
      <c r="Q251" s="325">
        <f>Q232+Q238</f>
        <v>383684</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468"/>
      <c r="L255" s="3469"/>
      <c r="M255" s="1221" t="s">
        <v>3777</v>
      </c>
      <c r="N255" s="1163"/>
      <c r="O255" s="4" t="s">
        <v>3752</v>
      </c>
      <c r="P255" s="1"/>
      <c r="Q255" s="1183">
        <f>K255*N255</f>
        <v>0</v>
      </c>
      <c r="R255" s="659"/>
      <c r="S255" s="3470"/>
      <c r="T255" s="3471"/>
      <c r="U255" s="3471"/>
      <c r="V255" s="3471"/>
      <c r="W255" s="347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470"/>
      <c r="T257" s="3471"/>
      <c r="U257" s="3471"/>
      <c r="V257" s="3471"/>
      <c r="W257" s="347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453" t="s">
        <v>5214</v>
      </c>
      <c r="B260" s="3453"/>
      <c r="C260" s="3453"/>
      <c r="D260" s="3453"/>
      <c r="E260" s="3453"/>
      <c r="F260" s="3453"/>
      <c r="G260" s="3453"/>
      <c r="H260" s="3453"/>
      <c r="I260" s="3453"/>
      <c r="J260" s="3453"/>
      <c r="K260" s="3453"/>
      <c r="L260" s="3453"/>
      <c r="M260" s="3453"/>
      <c r="N260" s="3454"/>
      <c r="O260" s="3454"/>
      <c r="P260" s="3454"/>
      <c r="Q260" s="3454"/>
      <c r="R260" s="2911"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formula1>"&lt;&lt; Select &gt;&gt;, 20% of HOME-Assisted Units at 50% of AMI, No, N/a"</formula1>
    </dataValidation>
    <dataValidation type="list" allowBlank="1" showInputMessage="1" showErrorMessage="1" sqref="O53">
      <formula1>"&lt;&lt; Select LIHTC Election &gt;&gt;,Income Averaging, 20% of Units at 50% of AMI, 40% of Units at 60% of AMI"</formula1>
    </dataValidation>
    <dataValidation type="list" allowBlank="1" showInputMessage="1" showErrorMessage="1" sqref="J257 L257">
      <formula1>"&lt;&lt;Select&gt;&gt;,Yes, No"</formula1>
    </dataValidation>
    <dataValidation type="list" allowBlank="1" showInputMessage="1" showErrorMessage="1" sqref="B18:B48">
      <formula1>"20, 30, 40, 50, 60, 70, 80"</formula1>
    </dataValidation>
    <dataValidation type="list" allowBlank="1" showInputMessage="1" showErrorMessage="1" sqref="B11:B17">
      <formula1>"Select Mkt/CS, Unrestricted, N/A-CS"</formula1>
    </dataValidation>
    <dataValidation type="list" allowBlank="1" showInputMessage="1" showErrorMessage="1" sqref="G7">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sqref="D11:D48">
      <formula1>"0, 1.0, 1.5, 2.0, 2.5, 3.0, 3.5, 4.0"</formula1>
    </dataValidation>
    <dataValidation type="list" allowBlank="1" showInputMessage="1" showErrorMessage="1" sqref="C11:C48">
      <formula1>"Efficiency, 1, 2, 3, 4"</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ErrorMessage="1" sqref="N11:N48">
      <formula1>"No, Common Space, Residential"</formula1>
    </dataValidation>
    <dataValidation type="list" allowBlank="1" showInputMessage="1" showErrorMessage="1" sqref="K11:K48">
      <formula1>"HUD, PHA PBRA, USDA 515, Other Govt,RAD,  PHA Oper Sub"</formula1>
    </dataValidation>
    <dataValidation type="list" allowBlank="1" showInputMessage="1" showErrorMessage="1" sqref="G6">
      <formula1>"&lt;Select&gt;,Fixed, Floating"</formula1>
    </dataValidation>
    <dataValidation type="list" allowBlank="1" showInputMessage="1" showErrorMessage="1" sqref="K127:K128">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75"/>
  <sheetViews>
    <sheetView showGridLines="0" topLeftCell="A2" workbookViewId="0">
      <selection activeCell="K25" sqref="K25:K26"/>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77" t="str">
        <f>CONCATENATE("PART SIX - OPERATING PRO FORMA","  -  ",'Part I-Project Identification'!$O$7," ",'Part I-Project Identification'!$F$26,", ",'Part I-Project Identification'!F27,", ",'Part I-Project Identification'!J27," County")</f>
        <v>PART SIX - OPERATING PRO FORMA  -  2024-0 Pateville Estates, Cordele, Crisp County</v>
      </c>
      <c r="B2" s="3578"/>
      <c r="C2" s="3578"/>
      <c r="D2" s="3578"/>
      <c r="E2" s="3578"/>
      <c r="F2" s="3578"/>
      <c r="G2" s="3578"/>
      <c r="H2" s="3578"/>
      <c r="I2" s="3578"/>
      <c r="J2" s="3578"/>
      <c r="K2" s="3579"/>
      <c r="L2" s="4"/>
      <c r="M2" s="4"/>
      <c r="N2" s="3580" t="str">
        <f>A2</f>
        <v>PART SIX - OPERATING PRO FORMA  -  2024-0 Pateville Estates, Cordele, Crisp County</v>
      </c>
      <c r="O2" s="3580"/>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1" t="str">
        <f>'Part I-Project Identification'!$A$6</f>
        <v>2024 May 7</v>
      </c>
      <c r="D4" s="931" t="s">
        <v>75</v>
      </c>
      <c r="E4" s="180"/>
      <c r="F4" s="932" t="s">
        <v>3314</v>
      </c>
      <c r="N4" s="10" t="str">
        <f>A4</f>
        <v>I.  OPERATING ASSUMPTIONS</v>
      </c>
      <c r="O4" s="10"/>
      <c r="AA4" s="1633">
        <v>4</v>
      </c>
    </row>
    <row r="5" spans="1:27" ht="2.65" customHeight="1">
      <c r="C5" s="3582"/>
      <c r="AA5" s="1633">
        <v>5</v>
      </c>
    </row>
    <row r="6" spans="1:27" ht="13.5" customHeight="1">
      <c r="A6" s="6" t="s">
        <v>2026</v>
      </c>
      <c r="B6" s="58">
        <f>'DCA Underwriting Assumptions'!$Q$114</f>
        <v>0.02</v>
      </c>
      <c r="C6" s="3582"/>
      <c r="D6" s="3506" t="s">
        <v>3315</v>
      </c>
      <c r="E6" s="3506"/>
      <c r="F6" s="3506"/>
      <c r="G6" s="59">
        <v>7500</v>
      </c>
      <c r="H6" s="75" t="s">
        <v>1763</v>
      </c>
      <c r="K6" s="80">
        <f>IF(($B$15+$B$16+$B$17+$B$18)=0,"",B31/($B$15+$B$16+$B$17+$B$18))</f>
        <v>-1.0699345515043212E-2</v>
      </c>
      <c r="N6" s="3508"/>
      <c r="O6" s="3510"/>
      <c r="AA6" s="1633">
        <v>6</v>
      </c>
    </row>
    <row r="7" spans="1:27">
      <c r="A7" s="6" t="s">
        <v>2027</v>
      </c>
      <c r="B7" s="58">
        <f>'DCA Underwriting Assumptions'!$Q$117</f>
        <v>0.03</v>
      </c>
      <c r="C7" s="3582"/>
      <c r="D7" s="3506"/>
      <c r="E7" s="3506"/>
      <c r="F7" s="3506"/>
      <c r="G7" s="933">
        <f>IF(OR('Part II-Sources of Funds'!E6="Yes",'Part II-Sources of Funds'!I6&gt;0),'DCA Underwriting Assumptions'!$Q$79,0)</f>
        <v>0</v>
      </c>
      <c r="N7" s="3488"/>
      <c r="O7" s="3490"/>
      <c r="AA7" s="1633">
        <v>7</v>
      </c>
    </row>
    <row r="8" spans="1:27">
      <c r="A8" s="6" t="s">
        <v>2029</v>
      </c>
      <c r="B8" s="58">
        <f>'DCA Underwriting Assumptions'!$Q$118</f>
        <v>0.03</v>
      </c>
      <c r="C8" s="3582"/>
      <c r="D8" s="1" t="s">
        <v>258</v>
      </c>
      <c r="G8" s="61"/>
      <c r="H8" s="75" t="s">
        <v>2185</v>
      </c>
      <c r="K8" s="80">
        <f>IF(($B$15+$B$16+$B$17+$B$18)=0,"",-B22/($B$15+$B$16+$B$17+$B$18))</f>
        <v>6.1148899487574959E-2</v>
      </c>
      <c r="N8" s="3488"/>
      <c r="O8" s="3490"/>
      <c r="AA8" s="1633">
        <v>8</v>
      </c>
    </row>
    <row r="9" spans="1:27" ht="13.35" customHeight="1">
      <c r="A9" s="6" t="s">
        <v>2028</v>
      </c>
      <c r="B9" s="186">
        <v>7.0000000000000007E-2</v>
      </c>
      <c r="C9" s="1154" t="str">
        <f>IF(B9&lt;0.07, "Must be &gt;= 7%!","")</f>
        <v/>
      </c>
      <c r="D9" s="1" t="s">
        <v>2301</v>
      </c>
      <c r="G9" s="1169" t="s">
        <v>2641</v>
      </c>
      <c r="H9" s="140" t="s">
        <v>1353</v>
      </c>
      <c r="K9" s="1171">
        <v>42864</v>
      </c>
      <c r="N9" s="3488"/>
      <c r="O9" s="3490"/>
      <c r="AA9" s="1633">
        <v>9</v>
      </c>
    </row>
    <row r="10" spans="1:27">
      <c r="A10" s="6" t="s">
        <v>1334</v>
      </c>
      <c r="B10" s="58">
        <v>0.02</v>
      </c>
      <c r="D10" s="1" t="s">
        <v>1595</v>
      </c>
      <c r="G10" s="1170" t="s">
        <v>2644</v>
      </c>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738960</v>
      </c>
      <c r="C15" s="15">
        <f t="shared" ref="C15:K15" si="1">$B$15*(1+$B$6)^(C14-1)</f>
        <v>753739.20000000007</v>
      </c>
      <c r="D15" s="15">
        <f t="shared" si="1"/>
        <v>768813.98399999994</v>
      </c>
      <c r="E15" s="15">
        <f t="shared" si="1"/>
        <v>784190.26367999997</v>
      </c>
      <c r="F15" s="15">
        <f t="shared" si="1"/>
        <v>799874.06895360001</v>
      </c>
      <c r="G15" s="15">
        <f t="shared" si="1"/>
        <v>815871.55033267196</v>
      </c>
      <c r="H15" s="15">
        <f t="shared" si="1"/>
        <v>832188.98133932555</v>
      </c>
      <c r="I15" s="15">
        <f t="shared" si="1"/>
        <v>848832.76096611179</v>
      </c>
      <c r="J15" s="15">
        <f t="shared" si="1"/>
        <v>865809.41618543409</v>
      </c>
      <c r="K15" s="16">
        <f t="shared" si="1"/>
        <v>883125.60450914281</v>
      </c>
      <c r="N15" s="3508"/>
      <c r="O15" s="3510"/>
      <c r="S15" s="3573" t="s">
        <v>3320</v>
      </c>
      <c r="Z15" s="1631" t="s">
        <v>4358</v>
      </c>
      <c r="AA15" s="1633">
        <v>15</v>
      </c>
    </row>
    <row r="16" spans="1:27" ht="13.35" customHeight="1">
      <c r="A16" s="17" t="s">
        <v>951</v>
      </c>
      <c r="B16" s="18">
        <f>MIN(B15*B10,'Part V-Revenues &amp; Expenses'!$H$183)</f>
        <v>14779.2</v>
      </c>
      <c r="C16" s="18">
        <f t="shared" ref="C16:K16" si="2">$B$16*(1+$B$6)^(C14-1)</f>
        <v>15074.784000000001</v>
      </c>
      <c r="D16" s="18">
        <f t="shared" si="2"/>
        <v>15376.279680000001</v>
      </c>
      <c r="E16" s="18">
        <f t="shared" si="2"/>
        <v>15683.805273599999</v>
      </c>
      <c r="F16" s="18">
        <f t="shared" si="2"/>
        <v>15997.481379072</v>
      </c>
      <c r="G16" s="18">
        <f t="shared" si="2"/>
        <v>16317.431006653442</v>
      </c>
      <c r="H16" s="18">
        <f t="shared" si="2"/>
        <v>16643.779626786512</v>
      </c>
      <c r="I16" s="18">
        <f t="shared" si="2"/>
        <v>16976.655219322238</v>
      </c>
      <c r="J16" s="18">
        <f t="shared" si="2"/>
        <v>17316.188323708684</v>
      </c>
      <c r="K16" s="19">
        <f t="shared" si="2"/>
        <v>17662.512090182856</v>
      </c>
      <c r="N16" s="3488"/>
      <c r="O16" s="3490"/>
      <c r="S16" s="3574"/>
      <c r="Z16" s="1631" t="s">
        <v>4358</v>
      </c>
      <c r="AA16" s="1633">
        <v>16</v>
      </c>
    </row>
    <row r="17" spans="1:27" ht="13.35" customHeight="1">
      <c r="A17" s="17" t="s">
        <v>2210</v>
      </c>
      <c r="B17" s="18">
        <f t="shared" ref="B17:K17" si="3">-(B15+B16)*$B$9</f>
        <v>-52761.743999999999</v>
      </c>
      <c r="C17" s="18">
        <f t="shared" si="3"/>
        <v>-53816.97888000001</v>
      </c>
      <c r="D17" s="18">
        <f t="shared" si="3"/>
        <v>-54893.318457600006</v>
      </c>
      <c r="E17" s="18">
        <f t="shared" si="3"/>
        <v>-55991.184826752004</v>
      </c>
      <c r="F17" s="18">
        <f t="shared" si="3"/>
        <v>-57111.008523287041</v>
      </c>
      <c r="G17" s="18">
        <f t="shared" si="3"/>
        <v>-58253.228693752782</v>
      </c>
      <c r="H17" s="18">
        <f t="shared" si="3"/>
        <v>-59418.293267627851</v>
      </c>
      <c r="I17" s="18">
        <f t="shared" si="3"/>
        <v>-60606.659132980385</v>
      </c>
      <c r="J17" s="18">
        <f t="shared" si="3"/>
        <v>-61818.792315639999</v>
      </c>
      <c r="K17" s="19">
        <f t="shared" si="3"/>
        <v>-63055.168161952803</v>
      </c>
      <c r="N17" s="3488"/>
      <c r="O17" s="3490"/>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8"/>
      <c r="O18" s="3490"/>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8"/>
      <c r="O19" s="3490"/>
      <c r="Z19" s="1631" t="s">
        <v>4358</v>
      </c>
      <c r="AA19" s="1633">
        <v>19</v>
      </c>
    </row>
    <row r="20" spans="1:27" ht="13.35" customHeight="1">
      <c r="A20" s="340" t="s">
        <v>3714</v>
      </c>
      <c r="B20" s="18">
        <f>SUM(B15:B19)</f>
        <v>700977.45600000001</v>
      </c>
      <c r="C20" s="18">
        <f t="shared" ref="C20:K20" si="4">SUM(C15:C19)</f>
        <v>714997.0051200001</v>
      </c>
      <c r="D20" s="18">
        <f t="shared" si="4"/>
        <v>729296.94522240001</v>
      </c>
      <c r="E20" s="18">
        <f t="shared" si="4"/>
        <v>743882.88412684796</v>
      </c>
      <c r="F20" s="18">
        <f t="shared" si="4"/>
        <v>758760.54180938494</v>
      </c>
      <c r="G20" s="18">
        <f t="shared" si="4"/>
        <v>773935.75264557265</v>
      </c>
      <c r="H20" s="18">
        <f t="shared" si="4"/>
        <v>789414.46769848419</v>
      </c>
      <c r="I20" s="18">
        <f t="shared" si="4"/>
        <v>805202.75705245358</v>
      </c>
      <c r="J20" s="18">
        <f t="shared" si="4"/>
        <v>821306.81219350279</v>
      </c>
      <c r="K20" s="19">
        <f t="shared" si="4"/>
        <v>837732.94843737292</v>
      </c>
      <c r="N20" s="3488"/>
      <c r="O20" s="3490"/>
      <c r="Z20" s="1631" t="s">
        <v>4358</v>
      </c>
      <c r="AA20" s="1633">
        <v>20</v>
      </c>
    </row>
    <row r="21" spans="1:27" ht="13.35" customHeight="1">
      <c r="A21" s="17" t="s">
        <v>571</v>
      </c>
      <c r="B21" s="18">
        <f>-('Part V-Revenues &amp; Expenses'!$Q$232-'Part V-Revenues &amp; Expenses'!$Q$224)</f>
        <v>-305100</v>
      </c>
      <c r="C21" s="18">
        <f t="shared" ref="C21:K21" si="5">$B$21*(1+$B$7)^(C14-1)</f>
        <v>-314253</v>
      </c>
      <c r="D21" s="18">
        <f t="shared" si="5"/>
        <v>-323680.58999999997</v>
      </c>
      <c r="E21" s="18">
        <f t="shared" si="5"/>
        <v>-333391.00770000002</v>
      </c>
      <c r="F21" s="18">
        <f t="shared" si="5"/>
        <v>-343392.73793099995</v>
      </c>
      <c r="G21" s="18">
        <f t="shared" si="5"/>
        <v>-353694.52006892994</v>
      </c>
      <c r="H21" s="18">
        <f t="shared" si="5"/>
        <v>-364305.35567099787</v>
      </c>
      <c r="I21" s="18">
        <f t="shared" si="5"/>
        <v>-375234.5163411278</v>
      </c>
      <c r="J21" s="18">
        <f t="shared" si="5"/>
        <v>-386491.5518313616</v>
      </c>
      <c r="K21" s="19">
        <f t="shared" si="5"/>
        <v>-398086.29838630249</v>
      </c>
      <c r="N21" s="3488"/>
      <c r="O21" s="3490"/>
      <c r="Q21" s="47">
        <v>1</v>
      </c>
      <c r="R21" s="856">
        <f>-B32</f>
        <v>57094</v>
      </c>
      <c r="S21" s="856">
        <f>B33+R21</f>
        <v>57094.296528977517</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-42864</v>
      </c>
      <c r="C22" s="18">
        <f>IF(AND('Part VI-Pro Forma'!$G$9="Yes",'Part VI-Pro Forma'!$G$10="Yes"),"Choose One!",IF('Part VI-Pro Forma'!$G$9="Yes",ROUND((-$K$9*(1+'Part VI-Pro Forma'!$B$7)^('Part VI-Pro Forma'!C14-1)),),IF('Part VI-Pro Forma'!$G$10="Yes",ROUND((-(SUM(C15:C18)*'Part VI-Pro Forma'!$K$10)),),"Choose mgt fee")))</f>
        <v>-44150</v>
      </c>
      <c r="D22" s="18">
        <f>IF(AND('Part VI-Pro Forma'!$G$9="Yes",'Part VI-Pro Forma'!$G$10="Yes"),"Choose One!",IF('Part VI-Pro Forma'!$G$9="Yes",ROUND((-$K$9*(1+'Part VI-Pro Forma'!$B$7)^('Part VI-Pro Forma'!D14-1)),),IF('Part VI-Pro Forma'!$G$10="Yes",ROUND((-(SUM(D15:D18)*'Part VI-Pro Forma'!$K$10)),),"Choose mgt fee")))</f>
        <v>-45474</v>
      </c>
      <c r="E22" s="18">
        <f>IF(AND('Part VI-Pro Forma'!$G$9="Yes",'Part VI-Pro Forma'!$G$10="Yes"),"Choose One!",IF('Part VI-Pro Forma'!$G$9="Yes",ROUND((-$K$9*(1+'Part VI-Pro Forma'!$B$7)^('Part VI-Pro Forma'!E14-1)),),IF('Part VI-Pro Forma'!$G$10="Yes",ROUND((-(SUM(E15:E18)*'Part VI-Pro Forma'!$K$10)),),"Choose mgt fee")))</f>
        <v>-46839</v>
      </c>
      <c r="F22" s="18">
        <f>IF(AND('Part VI-Pro Forma'!$G$9="Yes",'Part VI-Pro Forma'!$G$10="Yes"),"Choose One!",IF('Part VI-Pro Forma'!$G$9="Yes",ROUND((-$K$9*(1+'Part VI-Pro Forma'!$B$7)^('Part VI-Pro Forma'!F14-1)),),IF('Part VI-Pro Forma'!$G$10="Yes",ROUND((-(SUM(F15:F18)*'Part VI-Pro Forma'!$K$10)),),"Choose mgt fee")))</f>
        <v>-48244</v>
      </c>
      <c r="G22" s="18">
        <f>IF(AND('Part VI-Pro Forma'!$G$9="Yes",'Part VI-Pro Forma'!$G$10="Yes"),"Choose One!",IF('Part VI-Pro Forma'!$G$9="Yes",ROUND((-$K$9*(1+'Part VI-Pro Forma'!$B$7)^('Part VI-Pro Forma'!G14-1)),),IF('Part VI-Pro Forma'!$G$10="Yes",ROUND((-(SUM(G15:G18)*'Part VI-Pro Forma'!$K$10)),),"Choose mgt fee")))</f>
        <v>-49691</v>
      </c>
      <c r="H22" s="18">
        <f>IF(AND('Part VI-Pro Forma'!$G$9="Yes",'Part VI-Pro Forma'!$G$10="Yes"),"Choose One!",IF('Part VI-Pro Forma'!$G$9="Yes",ROUND((-$K$9*(1+'Part VI-Pro Forma'!$B$7)^('Part VI-Pro Forma'!H14-1)),),IF('Part VI-Pro Forma'!$G$10="Yes",ROUND((-(SUM(H15:H18)*'Part VI-Pro Forma'!$K$10)),),"Choose mgt fee")))</f>
        <v>-51182</v>
      </c>
      <c r="I22" s="18">
        <f>IF(AND('Part VI-Pro Forma'!$G$9="Yes",'Part VI-Pro Forma'!$G$10="Yes"),"Choose One!",IF('Part VI-Pro Forma'!$G$9="Yes",ROUND((-$K$9*(1+'Part VI-Pro Forma'!$B$7)^('Part VI-Pro Forma'!I14-1)),),IF('Part VI-Pro Forma'!$G$10="Yes",ROUND((-(SUM(I15:I18)*'Part VI-Pro Forma'!$K$10)),),"Choose mgt fee")))</f>
        <v>-52717</v>
      </c>
      <c r="J22" s="18">
        <f>IF(AND('Part VI-Pro Forma'!$G$9="Yes",'Part VI-Pro Forma'!$G$10="Yes"),"Choose One!",IF('Part VI-Pro Forma'!$G$9="Yes",ROUND((-$K$9*(1+'Part VI-Pro Forma'!$B$7)^('Part VI-Pro Forma'!J14-1)),),IF('Part VI-Pro Forma'!$G$10="Yes",ROUND((-(SUM(J15:J18)*'Part VI-Pro Forma'!$K$10)),),"Choose mgt fee")))</f>
        <v>-54299</v>
      </c>
      <c r="K22" s="19">
        <f>IF(AND('Part VI-Pro Forma'!$G$9="Yes",'Part VI-Pro Forma'!$G$10="Yes"),"Choose One!",IF('Part VI-Pro Forma'!$G$9="Yes",ROUND((-$K$9*(1+'Part VI-Pro Forma'!$B$7)^('Part VI-Pro Forma'!K14-1)),),IF('Part VI-Pro Forma'!$G$10="Yes",ROUND((-(SUM(K15:K18)*'Part VI-Pro Forma'!$K$10)),),"Choose mgt fee")))</f>
        <v>-55928</v>
      </c>
      <c r="N22" s="3488"/>
      <c r="O22" s="3490"/>
      <c r="Q22" s="47">
        <v>2</v>
      </c>
      <c r="R22" s="856">
        <f>-SUM(B32:C32)</f>
        <v>63322</v>
      </c>
      <c r="S22" s="856">
        <f>SUM(B33:C33)+R22</f>
        <v>116697.54217795515</v>
      </c>
      <c r="Z22" s="1631" t="s">
        <v>4358</v>
      </c>
      <c r="AA22" s="1633">
        <v>22</v>
      </c>
    </row>
    <row r="23" spans="1:27" ht="13.35" customHeight="1">
      <c r="A23" s="17" t="s">
        <v>1127</v>
      </c>
      <c r="B23" s="18">
        <f>-('Part V-Revenues &amp; Expenses'!$Q$238)</f>
        <v>-35720</v>
      </c>
      <c r="C23" s="18">
        <f t="shared" ref="C23:K23" si="6">$B$23*(1+$B$8)^(C14-1)</f>
        <v>-36791.599999999999</v>
      </c>
      <c r="D23" s="18">
        <f t="shared" si="6"/>
        <v>-37895.347999999998</v>
      </c>
      <c r="E23" s="18">
        <f t="shared" si="6"/>
        <v>-39032.208440000002</v>
      </c>
      <c r="F23" s="18">
        <f t="shared" si="6"/>
        <v>-40203.174693199995</v>
      </c>
      <c r="G23" s="18">
        <f t="shared" si="6"/>
        <v>-41409.269933995995</v>
      </c>
      <c r="H23" s="18">
        <f t="shared" si="6"/>
        <v>-42651.548032015875</v>
      </c>
      <c r="I23" s="18">
        <f t="shared" si="6"/>
        <v>-43931.094472976358</v>
      </c>
      <c r="J23" s="18">
        <f t="shared" si="6"/>
        <v>-45249.027307165641</v>
      </c>
      <c r="K23" s="19">
        <f t="shared" si="6"/>
        <v>-46606.498126380611</v>
      </c>
      <c r="N23" s="3488"/>
      <c r="O23" s="3490"/>
      <c r="Q23" s="47">
        <v>3</v>
      </c>
      <c r="R23" s="856">
        <f>-SUM(B32:D32)</f>
        <v>63322</v>
      </c>
      <c r="S23" s="856">
        <f>SUM(B33:D33)+R23</f>
        <v>178745.38992933271</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8"/>
      <c r="O24" s="3490"/>
      <c r="Q24" s="92">
        <v>4</v>
      </c>
      <c r="R24" s="856">
        <f>-SUM(B32:E32)</f>
        <v>63322</v>
      </c>
      <c r="S24" s="856">
        <f>SUM(B33:E33)+R24</f>
        <v>243166.89844515815</v>
      </c>
      <c r="Z24" s="1631" t="s">
        <v>4358</v>
      </c>
      <c r="AA24" s="1633">
        <v>24</v>
      </c>
    </row>
    <row r="25" spans="1:27" ht="13.35" customHeight="1">
      <c r="A25" s="17" t="s">
        <v>1128</v>
      </c>
      <c r="B25" s="18">
        <f>SUM(B20:B24)</f>
        <v>317293.45600000001</v>
      </c>
      <c r="C25" s="18">
        <f t="shared" ref="C25:J25" si="7">SUM(C20:C24)</f>
        <v>319802.40512000013</v>
      </c>
      <c r="D25" s="18">
        <f t="shared" si="7"/>
        <v>322247.00722240005</v>
      </c>
      <c r="E25" s="18">
        <f t="shared" si="7"/>
        <v>324620.66798684793</v>
      </c>
      <c r="F25" s="18">
        <f t="shared" si="7"/>
        <v>326920.62918518501</v>
      </c>
      <c r="G25" s="18">
        <f t="shared" si="7"/>
        <v>329140.96264264674</v>
      </c>
      <c r="H25" s="18">
        <f t="shared" si="7"/>
        <v>331275.56399547047</v>
      </c>
      <c r="I25" s="18">
        <f t="shared" si="7"/>
        <v>333320.14623834944</v>
      </c>
      <c r="J25" s="18">
        <f t="shared" si="7"/>
        <v>335267.23305497551</v>
      </c>
      <c r="K25" s="1156">
        <f>SUM(K20:K24)</f>
        <v>337112.15192468982</v>
      </c>
      <c r="N25" s="3488"/>
      <c r="O25" s="3490"/>
      <c r="Q25" s="92">
        <v>5</v>
      </c>
      <c r="R25" s="856">
        <f>-SUM(B32:F32)</f>
        <v>63322</v>
      </c>
      <c r="S25" s="856">
        <f>SUM(B33:F33)+R25</f>
        <v>309888.36815932067</v>
      </c>
      <c r="Z25" s="1631" t="s">
        <v>4358</v>
      </c>
      <c r="AA25" s="1633">
        <v>25</v>
      </c>
    </row>
    <row r="26" spans="1:27" ht="13.35" customHeight="1">
      <c r="A26" s="340" t="s">
        <v>1484</v>
      </c>
      <c r="B26" s="341">
        <f>IF('Part II-Sources of Funds'!$P$40="", 0,-'Part II-Sources of Funds'!$P$40)</f>
        <v>-252699.15947102249</v>
      </c>
      <c r="C26" s="341">
        <f>IF('Part II-Sources of Funds'!$P$40="", 0,-'Part II-Sources of Funds'!$P$40)</f>
        <v>-252699.15947102249</v>
      </c>
      <c r="D26" s="341">
        <f>IF('Part II-Sources of Funds'!$P$40="", 0,-'Part II-Sources of Funds'!$P$40)</f>
        <v>-252699.15947102249</v>
      </c>
      <c r="E26" s="341">
        <f>IF('Part II-Sources of Funds'!$P$40="", 0,-'Part II-Sources of Funds'!$P$40)</f>
        <v>-252699.15947102249</v>
      </c>
      <c r="F26" s="341">
        <f>IF('Part II-Sources of Funds'!$P$40="", 0,-'Part II-Sources of Funds'!$P$40)</f>
        <v>-252699.15947102249</v>
      </c>
      <c r="G26" s="341">
        <f>IF('Part II-Sources of Funds'!$P$40="", 0,-'Part II-Sources of Funds'!$P$40)</f>
        <v>-252699.15947102249</v>
      </c>
      <c r="H26" s="341">
        <f>IF('Part II-Sources of Funds'!$P$40="", 0,-'Part II-Sources of Funds'!$P$40)</f>
        <v>-252699.15947102249</v>
      </c>
      <c r="I26" s="341">
        <f>IF('Part II-Sources of Funds'!$P$40="", 0,-'Part II-Sources of Funds'!$P$40)</f>
        <v>-252699.15947102249</v>
      </c>
      <c r="J26" s="341">
        <f>IF('Part II-Sources of Funds'!$P$40="", 0,-'Part II-Sources of Funds'!$P$40)</f>
        <v>-252699.15947102249</v>
      </c>
      <c r="K26" s="341">
        <f>IF('Part II-Sources of Funds'!$P$40="", 0,-'Part II-Sources of Funds'!$P$40)</f>
        <v>-252699.15947102249</v>
      </c>
      <c r="N26" s="3488"/>
      <c r="O26" s="3490"/>
      <c r="Q26" s="92">
        <v>6</v>
      </c>
      <c r="R26" s="856">
        <f>-SUM(B32:G32)</f>
        <v>63322</v>
      </c>
      <c r="S26" s="856">
        <f>SUM(B33:G33)+R26</f>
        <v>378830.17133094493</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8"/>
      <c r="O27" s="3490"/>
      <c r="Q27" s="92">
        <v>7</v>
      </c>
      <c r="R27" s="856">
        <f>-SUM(B32:H32)</f>
        <v>63322</v>
      </c>
      <c r="S27" s="856">
        <f>SUM(B33:H33)+R27</f>
        <v>449906.5758553929</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8"/>
      <c r="O28" s="3490"/>
      <c r="Q28" s="92">
        <v>8</v>
      </c>
      <c r="R28" s="856">
        <f>-SUM(B32:I32)</f>
        <v>63322</v>
      </c>
      <c r="S28" s="856">
        <f>SUM(B33:I33)+R28</f>
        <v>523027.56262271985</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8"/>
      <c r="O29" s="3490"/>
      <c r="Q29" s="92">
        <v>9</v>
      </c>
      <c r="R29" s="856">
        <f>-SUM(B32:J32)</f>
        <v>63322</v>
      </c>
      <c r="S29" s="856">
        <f>SUM(B33:J33)+R29</f>
        <v>598095.63620667288</v>
      </c>
      <c r="Z29" s="1631" t="s">
        <v>4358</v>
      </c>
      <c r="AA29" s="1633">
        <v>29</v>
      </c>
    </row>
    <row r="30" spans="1:27" ht="13.35" customHeight="1">
      <c r="A30" s="17" t="s">
        <v>710</v>
      </c>
      <c r="B30" s="138"/>
      <c r="C30" s="138"/>
      <c r="D30" s="138"/>
      <c r="E30" s="138"/>
      <c r="F30" s="138"/>
      <c r="G30" s="138"/>
      <c r="H30" s="138"/>
      <c r="I30" s="138"/>
      <c r="J30" s="138"/>
      <c r="K30" s="138"/>
      <c r="N30" s="3488"/>
      <c r="O30" s="3490"/>
      <c r="Q30" s="92">
        <v>10</v>
      </c>
      <c r="R30" s="856">
        <f>-SUM(B32:K32)</f>
        <v>63322</v>
      </c>
      <c r="S30" s="856">
        <f>SUM(B33:K33)+R30</f>
        <v>675008.62866034021</v>
      </c>
      <c r="Z30" s="1631" t="s">
        <v>4358</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88"/>
      <c r="O31" s="3490"/>
      <c r="Q31" s="92">
        <v>11</v>
      </c>
      <c r="R31" s="856">
        <f>-SUM(B32:K32)-B64</f>
        <v>63322</v>
      </c>
      <c r="S31" s="856">
        <f>SUM(B33:K33)+B65+R31</f>
        <v>753657.49618737446</v>
      </c>
      <c r="Z31" s="1631" t="s">
        <v>4358</v>
      </c>
      <c r="AA31" s="1633">
        <v>31</v>
      </c>
    </row>
    <row r="32" spans="1:27" ht="13.35" customHeight="1">
      <c r="A32" s="340" t="s">
        <v>3273</v>
      </c>
      <c r="B32" s="179">
        <v>-57094</v>
      </c>
      <c r="C32" s="179">
        <v>-6228</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8"/>
      <c r="O32" s="3490"/>
      <c r="Q32" s="92">
        <v>12</v>
      </c>
      <c r="R32" s="856">
        <f>-SUM(B32:K32) - SUM(B64:C64)</f>
        <v>63322</v>
      </c>
      <c r="S32" s="856">
        <f>SUM(B33:K33) + SUM(B65:C65)+R32</f>
        <v>833927.10845028912</v>
      </c>
      <c r="Z32" s="1631" t="s">
        <v>4358</v>
      </c>
      <c r="AA32" s="1633">
        <v>32</v>
      </c>
    </row>
    <row r="33" spans="1:27" ht="13.35" customHeight="1">
      <c r="A33" s="17" t="s">
        <v>1095</v>
      </c>
      <c r="B33" s="18">
        <f t="shared" ref="B33:K33" si="9">SUM(B25:B32)</f>
        <v>0.29652897751657292</v>
      </c>
      <c r="C33" s="18">
        <f t="shared" si="9"/>
        <v>53375.245648977638</v>
      </c>
      <c r="D33" s="18">
        <f t="shared" si="9"/>
        <v>62047.847751377558</v>
      </c>
      <c r="E33" s="18">
        <f t="shared" si="9"/>
        <v>64421.508515825437</v>
      </c>
      <c r="F33" s="18">
        <f t="shared" si="9"/>
        <v>66721.469714162522</v>
      </c>
      <c r="G33" s="18">
        <f t="shared" si="9"/>
        <v>68941.803171624255</v>
      </c>
      <c r="H33" s="18">
        <f t="shared" si="9"/>
        <v>71076.404524447978</v>
      </c>
      <c r="I33" s="18">
        <f t="shared" si="9"/>
        <v>73120.986767326947</v>
      </c>
      <c r="J33" s="18">
        <f t="shared" si="9"/>
        <v>75068.073583953024</v>
      </c>
      <c r="K33" s="19">
        <f t="shared" si="9"/>
        <v>76912.992453667335</v>
      </c>
      <c r="N33" s="3488"/>
      <c r="O33" s="3490"/>
      <c r="Q33" s="92">
        <v>13</v>
      </c>
      <c r="R33" s="856">
        <f>-SUM(B32:K32) - SUM(B64:D64)</f>
        <v>63322</v>
      </c>
      <c r="S33" s="856">
        <f>SUM(B33:K33) + SUM(B65:D65)+R33</f>
        <v>915695.03026967961</v>
      </c>
      <c r="Z33" s="1631" t="s">
        <v>4358</v>
      </c>
      <c r="AA33" s="1633">
        <v>33</v>
      </c>
    </row>
    <row r="34" spans="1:27" ht="13.35" customHeight="1">
      <c r="A34" s="17" t="str">
        <f>IF('Part II-Sources of Funds'!$E$40 = "Neither", "", "DCR Mortgage A")</f>
        <v>DCR Mortgage A</v>
      </c>
      <c r="B34" s="20">
        <f t="shared" ref="B34:K34" si="10">IF(B26=0,"",-B25/B26)</f>
        <v>1.255617377850379</v>
      </c>
      <c r="C34" s="20">
        <f t="shared" si="10"/>
        <v>1.2655459788210039</v>
      </c>
      <c r="D34" s="20">
        <f t="shared" si="10"/>
        <v>1.2752199409644367</v>
      </c>
      <c r="E34" s="20">
        <f t="shared" si="10"/>
        <v>1.2846131687433366</v>
      </c>
      <c r="F34" s="20">
        <f t="shared" si="10"/>
        <v>1.2937147470910906</v>
      </c>
      <c r="G34" s="20">
        <f t="shared" si="10"/>
        <v>1.3025012165914622</v>
      </c>
      <c r="H34" s="20">
        <f t="shared" si="10"/>
        <v>1.3109484205999447</v>
      </c>
      <c r="I34" s="20">
        <f t="shared" si="10"/>
        <v>1.3190393942587368</v>
      </c>
      <c r="J34" s="20">
        <f t="shared" si="10"/>
        <v>1.3267445517301821</v>
      </c>
      <c r="K34" s="21">
        <f t="shared" si="10"/>
        <v>1.3340454025663158</v>
      </c>
      <c r="N34" s="3488"/>
      <c r="O34" s="3490"/>
      <c r="Q34" s="92">
        <v>14</v>
      </c>
      <c r="R34" s="856">
        <f>-SUM(B32:K32) - SUM(B64:E64)</f>
        <v>63322</v>
      </c>
      <c r="S34" s="856">
        <f>SUM(B33:K33) + SUM(B65:E65)+R34</f>
        <v>998832.29546032916</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8"/>
      <c r="O35" s="3490"/>
      <c r="Q35" s="92">
        <v>15</v>
      </c>
      <c r="R35" s="856">
        <f>-SUM(B32:K32) - SUM(B64:F64)</f>
        <v>63322</v>
      </c>
      <c r="S35" s="856">
        <f>SUM(B33:K33) + SUM(B65:F65)+R35</f>
        <v>1083201.1725420267</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8"/>
      <c r="O36" s="3490"/>
      <c r="Q36" s="47">
        <v>16</v>
      </c>
      <c r="R36" s="856">
        <f>-SUM(B32:K32) - SUM(B64:G64)</f>
        <v>63322</v>
      </c>
      <c r="S36" s="856">
        <f>SUM(B33:K33) + SUM(B65:G65)+R36</f>
        <v>1168657.9220545271</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8"/>
      <c r="O37" s="3490"/>
      <c r="Q37" s="47">
        <v>17</v>
      </c>
      <c r="R37" s="856">
        <f>-SUM(B32:K32) - SUM(B64:H64)</f>
        <v>63322</v>
      </c>
      <c r="S37" s="856">
        <f>SUM(B33:K33) + SUM(B65:H65)+R37</f>
        <v>1255050.5451974394</v>
      </c>
      <c r="Z37" s="1631" t="s">
        <v>4358</v>
      </c>
      <c r="AA37" s="1633">
        <v>37</v>
      </c>
    </row>
    <row r="38" spans="1:27" ht="13.35" customHeight="1">
      <c r="A38" s="340" t="s">
        <v>3129</v>
      </c>
      <c r="B38" s="20">
        <f t="shared" ref="B38:K38" si="14">IF(AND(B26=0,B27=0,B28=0,B29=0),"",-B25/(B26+B27+B28+B29))</f>
        <v>1.255617377850379</v>
      </c>
      <c r="C38" s="20">
        <f t="shared" si="14"/>
        <v>1.2655459788210039</v>
      </c>
      <c r="D38" s="20">
        <f t="shared" si="14"/>
        <v>1.2752199409644367</v>
      </c>
      <c r="E38" s="20">
        <f t="shared" si="14"/>
        <v>1.2846131687433366</v>
      </c>
      <c r="F38" s="20">
        <f t="shared" si="14"/>
        <v>1.2937147470910906</v>
      </c>
      <c r="G38" s="20">
        <f t="shared" si="14"/>
        <v>1.3025012165914622</v>
      </c>
      <c r="H38" s="20">
        <f t="shared" si="14"/>
        <v>1.3109484205999447</v>
      </c>
      <c r="I38" s="20">
        <f t="shared" si="14"/>
        <v>1.3190393942587368</v>
      </c>
      <c r="J38" s="20">
        <f t="shared" si="14"/>
        <v>1.3267445517301821</v>
      </c>
      <c r="K38" s="21">
        <f t="shared" si="14"/>
        <v>1.3340454025663158</v>
      </c>
      <c r="N38" s="3488"/>
      <c r="O38" s="3490"/>
      <c r="Q38" s="47">
        <v>18</v>
      </c>
      <c r="R38" s="856">
        <f>-SUM(B32:K32) - SUM(B64:I64)</f>
        <v>63322</v>
      </c>
      <c r="S38" s="856">
        <f>SUM(B33:K33) + SUM(B65:I65)+R38</f>
        <v>1342217.523506894</v>
      </c>
      <c r="Z38" s="1631" t="s">
        <v>4358</v>
      </c>
      <c r="AA38" s="1633">
        <v>38</v>
      </c>
    </row>
    <row r="39" spans="1:27" ht="13.35" customHeight="1">
      <c r="A39" s="17" t="s">
        <v>717</v>
      </c>
      <c r="B39" s="220">
        <f t="shared" ref="B39:K39" si="15">IF(OR(B22="Choose mgt fee",B22="Choose One!"),"",(B15+B16+B17+B18+B19) / -(B21+B22+B23))</f>
        <v>1.8269655654132047</v>
      </c>
      <c r="C39" s="220">
        <f t="shared" si="15"/>
        <v>1.8092276694064142</v>
      </c>
      <c r="D39" s="220">
        <f t="shared" si="15"/>
        <v>1.7916645530170798</v>
      </c>
      <c r="E39" s="220">
        <f t="shared" si="15"/>
        <v>1.7742664506606782</v>
      </c>
      <c r="F39" s="220">
        <f t="shared" si="15"/>
        <v>1.7570412544745051</v>
      </c>
      <c r="G39" s="220">
        <f t="shared" si="15"/>
        <v>1.739983853319149</v>
      </c>
      <c r="H39" s="220">
        <f t="shared" si="15"/>
        <v>1.7230897907116358</v>
      </c>
      <c r="I39" s="220">
        <f t="shared" si="15"/>
        <v>1.7063624270097533</v>
      </c>
      <c r="J39" s="220">
        <f t="shared" si="15"/>
        <v>1.6897940979399544</v>
      </c>
      <c r="K39" s="221">
        <f t="shared" si="15"/>
        <v>1.6733882297199956</v>
      </c>
      <c r="N39" s="3488"/>
      <c r="O39" s="3490"/>
      <c r="Q39" s="92">
        <v>19</v>
      </c>
      <c r="R39" s="856">
        <f>-SUM(B32:K32) - SUM(B64:J64)</f>
        <v>63322</v>
      </c>
      <c r="S39" s="856">
        <f>SUM(B33:K33) + SUM(B65:J65)+R39</f>
        <v>1429990.5492716497</v>
      </c>
      <c r="Z39" s="1631" t="s">
        <v>4358</v>
      </c>
      <c r="AA39" s="1633">
        <v>39</v>
      </c>
    </row>
    <row r="40" spans="1:27" ht="13.35" customHeight="1">
      <c r="A40" s="340" t="s">
        <v>2399</v>
      </c>
      <c r="B40" s="177">
        <f>IF('Part II-Sources of Funds'!$I$40="","",-FV('Part II-Sources of Funds'!$K$40/12,12,B26/12,'Part II-Sources of Funds'!$I$40))</f>
        <v>3186855.0832930314</v>
      </c>
      <c r="C40" s="177">
        <f>IF('Part II-Sources of Funds'!$I$40="","",-FV('Part II-Sources of Funds'!$K$40/12,12,C26/12,B40))</f>
        <v>3172689.692540355</v>
      </c>
      <c r="D40" s="177">
        <f>IF('Part II-Sources of Funds'!$I$40="","",-FV('Part II-Sources of Funds'!$K$40/12,12,D26/12,C40))</f>
        <v>3157424.605689737</v>
      </c>
      <c r="E40" s="177">
        <f>IF('Part II-Sources of Funds'!$I$40="","",-FV('Part II-Sources of Funds'!$K$40/12,12,E26/12,D40))</f>
        <v>3140974.4504751423</v>
      </c>
      <c r="F40" s="177">
        <f>IF('Part II-Sources of Funds'!$I$40="","",-FV('Part II-Sources of Funds'!$K$40/12,12,F26/12,E40))</f>
        <v>3123247.2269596537</v>
      </c>
      <c r="G40" s="177">
        <f>IF('Part II-Sources of Funds'!$I$40="","",-FV('Part II-Sources of Funds'!$K$40/12,12,G26/12,F40))</f>
        <v>3104143.7930121562</v>
      </c>
      <c r="H40" s="177">
        <f>IF('Part II-Sources of Funds'!$I$40="","",-FV('Part II-Sources of Funds'!$K$40/12,12,H26/12,G40))</f>
        <v>3083557.3098402396</v>
      </c>
      <c r="I40" s="177">
        <f>IF('Part II-Sources of Funds'!$I$40="","",-FV('Part II-Sources of Funds'!$K$40/12,12,I26/12,H40))</f>
        <v>3061372.6444783811</v>
      </c>
      <c r="J40" s="177">
        <f>IF('Part II-Sources of Funds'!$I$40="","",-FV('Part II-Sources of Funds'!$K$40/12,12,J26/12,I40))</f>
        <v>3037465.7258897303</v>
      </c>
      <c r="K40" s="177">
        <f>IF('Part II-Sources of Funds'!$I$40="","",-FV('Part II-Sources of Funds'!$K$40/12,12,K26/12,J40))</f>
        <v>3011702.8510804032</v>
      </c>
      <c r="N40" s="3488"/>
      <c r="O40" s="3490"/>
      <c r="Q40" s="92">
        <v>20</v>
      </c>
      <c r="R40" s="856">
        <f>-SUM(B32:K32) - SUM(B64:K64)</f>
        <v>63322</v>
      </c>
      <c r="S40" s="856">
        <f>SUM(B33:K33) + SUM(B65:K65)+R40</f>
        <v>1518191.246381803</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8"/>
      <c r="O41" s="3490"/>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8"/>
      <c r="O42" s="3490"/>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8"/>
      <c r="O43" s="3490"/>
      <c r="Z43" s="1631" t="s">
        <v>4358</v>
      </c>
      <c r="AA43" s="1633">
        <v>43</v>
      </c>
    </row>
    <row r="44" spans="1:27" ht="13.35" customHeight="1">
      <c r="A44" s="340" t="s">
        <v>3274</v>
      </c>
      <c r="B44" s="179">
        <f>IF('Part II-Sources of Funds'!$I$45="","",-FV('Part II-Sources of Funds'!$K$45/12,12,B32/12,'Part II-Sources of Funds'!$I$45))</f>
        <v>6228</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900788.11659932567</v>
      </c>
      <c r="C47" s="15">
        <f t="shared" si="17"/>
        <v>918803.87893131201</v>
      </c>
      <c r="D47" s="15">
        <f t="shared" si="17"/>
        <v>937179.95650993846</v>
      </c>
      <c r="E47" s="15">
        <f t="shared" si="17"/>
        <v>955923.55564013717</v>
      </c>
      <c r="F47" s="15">
        <f t="shared" si="17"/>
        <v>975042.02675294003</v>
      </c>
      <c r="G47" s="15">
        <f t="shared" si="17"/>
        <v>994542.86728799855</v>
      </c>
      <c r="H47" s="15">
        <f t="shared" si="17"/>
        <v>1014433.7246337587</v>
      </c>
      <c r="I47" s="15">
        <f t="shared" si="17"/>
        <v>1034722.3991264339</v>
      </c>
      <c r="J47" s="15">
        <f t="shared" si="17"/>
        <v>1055416.8471089625</v>
      </c>
      <c r="K47" s="16">
        <f t="shared" si="17"/>
        <v>1076525.1840511416</v>
      </c>
      <c r="N47" s="3508"/>
      <c r="O47" s="3510"/>
      <c r="Z47" s="1631" t="s">
        <v>4359</v>
      </c>
      <c r="AA47" s="1633">
        <v>47</v>
      </c>
    </row>
    <row r="48" spans="1:27" ht="13.35" customHeight="1">
      <c r="A48" s="17" t="s">
        <v>951</v>
      </c>
      <c r="B48" s="18">
        <f t="shared" ref="B48:K48" si="18">$B$16*(1+$B$6)^(B46-1)</f>
        <v>18015.762331986516</v>
      </c>
      <c r="C48" s="18">
        <f t="shared" si="18"/>
        <v>18376.077578626242</v>
      </c>
      <c r="D48" s="18">
        <f t="shared" si="18"/>
        <v>18743.599130198771</v>
      </c>
      <c r="E48" s="18">
        <f t="shared" si="18"/>
        <v>19118.471112802745</v>
      </c>
      <c r="F48" s="18">
        <f t="shared" si="18"/>
        <v>19500.8405350588</v>
      </c>
      <c r="G48" s="18">
        <f t="shared" si="18"/>
        <v>19890.85734575997</v>
      </c>
      <c r="H48" s="18">
        <f t="shared" si="18"/>
        <v>20288.674492675174</v>
      </c>
      <c r="I48" s="18">
        <f t="shared" si="18"/>
        <v>20694.44798252868</v>
      </c>
      <c r="J48" s="18">
        <f t="shared" si="18"/>
        <v>21108.336942179252</v>
      </c>
      <c r="K48" s="19">
        <f t="shared" si="18"/>
        <v>21530.503681022834</v>
      </c>
      <c r="N48" s="3488"/>
      <c r="O48" s="3490"/>
      <c r="Z48" s="1631" t="s">
        <v>4359</v>
      </c>
      <c r="AA48" s="1633">
        <v>48</v>
      </c>
    </row>
    <row r="49" spans="1:27" ht="13.35" customHeight="1">
      <c r="A49" s="17" t="s">
        <v>2210</v>
      </c>
      <c r="B49" s="18">
        <f t="shared" ref="B49:K49" si="19">-(B47+B48)*$B$9</f>
        <v>-64316.271525191863</v>
      </c>
      <c r="C49" s="18">
        <f t="shared" si="19"/>
        <v>-65602.596955695684</v>
      </c>
      <c r="D49" s="18">
        <f t="shared" si="19"/>
        <v>-66914.648894809623</v>
      </c>
      <c r="E49" s="18">
        <f t="shared" si="19"/>
        <v>-68252.941872705807</v>
      </c>
      <c r="F49" s="18">
        <f t="shared" si="19"/>
        <v>-69618.000710159919</v>
      </c>
      <c r="G49" s="18">
        <f t="shared" si="19"/>
        <v>-71010.360724363098</v>
      </c>
      <c r="H49" s="18">
        <f t="shared" si="19"/>
        <v>-72430.567938850378</v>
      </c>
      <c r="I49" s="18">
        <f t="shared" si="19"/>
        <v>-73879.179297627386</v>
      </c>
      <c r="J49" s="18">
        <f t="shared" si="19"/>
        <v>-75356.762883579941</v>
      </c>
      <c r="K49" s="19">
        <f t="shared" si="19"/>
        <v>-76863.898141251528</v>
      </c>
      <c r="N49" s="3488"/>
      <c r="O49" s="3490"/>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8"/>
      <c r="O50" s="3490"/>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8"/>
      <c r="O51" s="3490"/>
      <c r="Z51" s="1631" t="s">
        <v>4359</v>
      </c>
      <c r="AA51" s="1633">
        <v>51</v>
      </c>
    </row>
    <row r="52" spans="1:27" ht="13.35" customHeight="1">
      <c r="A52" s="340" t="s">
        <v>3714</v>
      </c>
      <c r="B52" s="18">
        <f t="shared" ref="B52:K52" si="20">SUM(B47:B51)</f>
        <v>854487.6074061204</v>
      </c>
      <c r="C52" s="18">
        <f t="shared" si="20"/>
        <v>871577.35955424258</v>
      </c>
      <c r="D52" s="18">
        <f t="shared" si="20"/>
        <v>889008.90674532764</v>
      </c>
      <c r="E52" s="18">
        <f t="shared" si="20"/>
        <v>906789.08488023409</v>
      </c>
      <c r="F52" s="18">
        <f t="shared" si="20"/>
        <v>924924.8665778389</v>
      </c>
      <c r="G52" s="18">
        <f t="shared" si="20"/>
        <v>943423.36390939541</v>
      </c>
      <c r="H52" s="18">
        <f t="shared" si="20"/>
        <v>962291.83118758351</v>
      </c>
      <c r="I52" s="18">
        <f t="shared" si="20"/>
        <v>981537.66781133506</v>
      </c>
      <c r="J52" s="18">
        <f t="shared" si="20"/>
        <v>1001168.4211675619</v>
      </c>
      <c r="K52" s="19">
        <f t="shared" si="20"/>
        <v>1021191.789590913</v>
      </c>
      <c r="N52" s="3488"/>
      <c r="O52" s="3490"/>
      <c r="Z52" s="1631" t="s">
        <v>4359</v>
      </c>
      <c r="AA52" s="1633">
        <v>52</v>
      </c>
    </row>
    <row r="53" spans="1:27" ht="13.35" customHeight="1">
      <c r="A53" s="17" t="s">
        <v>571</v>
      </c>
      <c r="B53" s="18">
        <f t="shared" ref="B53:K53" si="21">$B$21*(1+$B$7)^(B46-1)</f>
        <v>-410028.88733789156</v>
      </c>
      <c r="C53" s="18">
        <f t="shared" si="21"/>
        <v>-422329.75395802833</v>
      </c>
      <c r="D53" s="18">
        <f t="shared" si="21"/>
        <v>-434999.64657676913</v>
      </c>
      <c r="E53" s="18">
        <f t="shared" si="21"/>
        <v>-448049.63597407215</v>
      </c>
      <c r="F53" s="18">
        <f t="shared" si="21"/>
        <v>-461491.12505329435</v>
      </c>
      <c r="G53" s="18">
        <f t="shared" si="21"/>
        <v>-475335.85880489321</v>
      </c>
      <c r="H53" s="18">
        <f t="shared" si="21"/>
        <v>-489595.93456903996</v>
      </c>
      <c r="I53" s="18">
        <f t="shared" si="21"/>
        <v>-504283.81260611111</v>
      </c>
      <c r="J53" s="18">
        <f t="shared" si="21"/>
        <v>-519412.32698429446</v>
      </c>
      <c r="K53" s="19">
        <f t="shared" si="21"/>
        <v>-534994.69679382327</v>
      </c>
      <c r="N53" s="3488"/>
      <c r="O53" s="3490"/>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-57606</v>
      </c>
      <c r="C54" s="18">
        <f>IF(AND('Part VI-Pro Forma'!$G$9="Yes",'Part VI-Pro Forma'!$G$10="Yes"),"Choose One!",IF('Part VI-Pro Forma'!$G$9="Yes",ROUND((-$K$9*(1+'Part VI-Pro Forma'!$B$7)^('Part VI-Pro Forma'!C46-1)),),IF('Part VI-Pro Forma'!$G$10="Yes",ROUND((-(SUM(C47:C50)*'Part VI-Pro Forma'!$K$10)),),"Choose mgt fee")))</f>
        <v>-59334</v>
      </c>
      <c r="D54" s="18">
        <f>IF(AND('Part VI-Pro Forma'!$G$9="Yes",'Part VI-Pro Forma'!$G$10="Yes"),"Choose One!",IF('Part VI-Pro Forma'!$G$9="Yes",ROUND((-$K$9*(1+'Part VI-Pro Forma'!$B$7)^('Part VI-Pro Forma'!D46-1)),),IF('Part VI-Pro Forma'!$G$10="Yes",ROUND((-(SUM(D47:D50)*'Part VI-Pro Forma'!$K$10)),),"Choose mgt fee")))</f>
        <v>-61114</v>
      </c>
      <c r="E54" s="18">
        <f>IF(AND('Part VI-Pro Forma'!$G$9="Yes",'Part VI-Pro Forma'!$G$10="Yes"),"Choose One!",IF('Part VI-Pro Forma'!$G$9="Yes",ROUND((-$K$9*(1+'Part VI-Pro Forma'!$B$7)^('Part VI-Pro Forma'!E46-1)),),IF('Part VI-Pro Forma'!$G$10="Yes",ROUND((-(SUM(E47:E50)*'Part VI-Pro Forma'!$K$10)),),"Choose mgt fee")))</f>
        <v>-62947</v>
      </c>
      <c r="F54" s="18">
        <f>IF(AND('Part VI-Pro Forma'!$G$9="Yes",'Part VI-Pro Forma'!$G$10="Yes"),"Choose One!",IF('Part VI-Pro Forma'!$G$9="Yes",ROUND((-$K$9*(1+'Part VI-Pro Forma'!$B$7)^('Part VI-Pro Forma'!F46-1)),),IF('Part VI-Pro Forma'!$G$10="Yes",ROUND((-(SUM(F47:F50)*'Part VI-Pro Forma'!$K$10)),),"Choose mgt fee")))</f>
        <v>-64836</v>
      </c>
      <c r="G54" s="18">
        <f>IF(AND('Part VI-Pro Forma'!$G$9="Yes",'Part VI-Pro Forma'!$G$10="Yes"),"Choose One!",IF('Part VI-Pro Forma'!$G$9="Yes",ROUND((-$K$9*(1+'Part VI-Pro Forma'!$B$7)^('Part VI-Pro Forma'!G46-1)),),IF('Part VI-Pro Forma'!$G$10="Yes",ROUND((-(SUM(G47:G50)*'Part VI-Pro Forma'!$K$10)),),"Choose mgt fee")))</f>
        <v>-66781</v>
      </c>
      <c r="H54" s="18">
        <f>IF(AND('Part VI-Pro Forma'!$G$9="Yes",'Part VI-Pro Forma'!$G$10="Yes"),"Choose One!",IF('Part VI-Pro Forma'!$G$9="Yes",ROUND((-$K$9*(1+'Part VI-Pro Forma'!$B$7)^('Part VI-Pro Forma'!H46-1)),),IF('Part VI-Pro Forma'!$G$10="Yes",ROUND((-(SUM(H47:H50)*'Part VI-Pro Forma'!$K$10)),),"Choose mgt fee")))</f>
        <v>-68784</v>
      </c>
      <c r="I54" s="18">
        <f>IF(AND('Part VI-Pro Forma'!$G$9="Yes",'Part VI-Pro Forma'!$G$10="Yes"),"Choose One!",IF('Part VI-Pro Forma'!$G$9="Yes",ROUND((-$K$9*(1+'Part VI-Pro Forma'!$B$7)^('Part VI-Pro Forma'!I46-1)),),IF('Part VI-Pro Forma'!$G$10="Yes",ROUND((-(SUM(I47:I50)*'Part VI-Pro Forma'!$K$10)),),"Choose mgt fee")))</f>
        <v>-70848</v>
      </c>
      <c r="J54" s="18">
        <f>IF(AND('Part VI-Pro Forma'!$G$9="Yes",'Part VI-Pro Forma'!$G$10="Yes"),"Choose One!",IF('Part VI-Pro Forma'!$G$9="Yes",ROUND((-$K$9*(1+'Part VI-Pro Forma'!$B$7)^('Part VI-Pro Forma'!J46-1)),),IF('Part VI-Pro Forma'!$G$10="Yes",ROUND((-(SUM(J47:J50)*'Part VI-Pro Forma'!$K$10)),),"Choose mgt fee")))</f>
        <v>-72973</v>
      </c>
      <c r="K54" s="19">
        <f>IF(AND('Part VI-Pro Forma'!$G$9="Yes",'Part VI-Pro Forma'!$G$10="Yes"),"Choose One!",IF('Part VI-Pro Forma'!$G$9="Yes",ROUND((-$K$9*(1+'Part VI-Pro Forma'!$B$7)^('Part VI-Pro Forma'!K46-1)),),IF('Part VI-Pro Forma'!$G$10="Yes",ROUND((-(SUM(K47:K50)*'Part VI-Pro Forma'!$K$10)),),"Choose mgt fee")))</f>
        <v>-75162</v>
      </c>
      <c r="N54" s="3488"/>
      <c r="O54" s="3490"/>
      <c r="Z54" s="1631" t="s">
        <v>4359</v>
      </c>
      <c r="AA54" s="1633">
        <v>54</v>
      </c>
    </row>
    <row r="55" spans="1:27" ht="13.35" customHeight="1">
      <c r="A55" s="17" t="s">
        <v>1127</v>
      </c>
      <c r="B55" s="18">
        <f t="shared" ref="B55:K55" si="22">$B$23*(1+$B$8)^(B46-1)</f>
        <v>-48004.693070172027</v>
      </c>
      <c r="C55" s="18">
        <f t="shared" si="22"/>
        <v>-49444.833862277192</v>
      </c>
      <c r="D55" s="18">
        <f t="shared" si="22"/>
        <v>-50928.178878145503</v>
      </c>
      <c r="E55" s="18">
        <f t="shared" si="22"/>
        <v>-52456.024244489861</v>
      </c>
      <c r="F55" s="18">
        <f t="shared" si="22"/>
        <v>-54029.704971824562</v>
      </c>
      <c r="G55" s="18">
        <f t="shared" si="22"/>
        <v>-55650.596120979302</v>
      </c>
      <c r="H55" s="18">
        <f t="shared" si="22"/>
        <v>-57320.114004608673</v>
      </c>
      <c r="I55" s="18">
        <f t="shared" si="22"/>
        <v>-59039.717424746937</v>
      </c>
      <c r="J55" s="18">
        <f t="shared" si="22"/>
        <v>-60810.908947489341</v>
      </c>
      <c r="K55" s="19">
        <f t="shared" si="22"/>
        <v>-62635.236215914025</v>
      </c>
      <c r="N55" s="3488"/>
      <c r="O55" s="3490"/>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8"/>
      <c r="O56" s="3490"/>
      <c r="Z56" s="1631" t="s">
        <v>4359</v>
      </c>
      <c r="AA56" s="1633">
        <v>56</v>
      </c>
    </row>
    <row r="57" spans="1:27" ht="13.35" customHeight="1">
      <c r="A57" s="17" t="s">
        <v>1128</v>
      </c>
      <c r="B57" s="18">
        <f t="shared" ref="B57:K57" si="23">SUM(B52:B56)</f>
        <v>338848.0269980568</v>
      </c>
      <c r="C57" s="18">
        <f t="shared" si="23"/>
        <v>340468.77173393703</v>
      </c>
      <c r="D57" s="18">
        <f t="shared" si="23"/>
        <v>341967.08129041299</v>
      </c>
      <c r="E57" s="18">
        <f t="shared" si="23"/>
        <v>343336.42466167209</v>
      </c>
      <c r="F57" s="18">
        <f t="shared" si="23"/>
        <v>344568.03655272</v>
      </c>
      <c r="G57" s="18">
        <f t="shared" si="23"/>
        <v>345655.90898352291</v>
      </c>
      <c r="H57" s="18">
        <f t="shared" si="23"/>
        <v>346591.78261393489</v>
      </c>
      <c r="I57" s="18">
        <f t="shared" si="23"/>
        <v>347366.137780477</v>
      </c>
      <c r="J57" s="18">
        <f t="shared" si="23"/>
        <v>347972.1852357781</v>
      </c>
      <c r="K57" s="1156">
        <f t="shared" si="23"/>
        <v>348399.8565811757</v>
      </c>
      <c r="N57" s="3488"/>
      <c r="O57" s="3490"/>
      <c r="Z57" s="1631" t="s">
        <v>4359</v>
      </c>
      <c r="AA57" s="1633">
        <v>57</v>
      </c>
    </row>
    <row r="58" spans="1:27" ht="13.35" customHeight="1">
      <c r="A58" s="17" t="str">
        <f>$A26</f>
        <v>Mortgage A</v>
      </c>
      <c r="B58" s="341">
        <f>IF('Part II-Sources of Funds'!$P$40="", 0,-'Part II-Sources of Funds'!$P$40)</f>
        <v>-252699.15947102249</v>
      </c>
      <c r="C58" s="341">
        <f>IF('Part II-Sources of Funds'!$P$40="", 0,-'Part II-Sources of Funds'!$P$40)</f>
        <v>-252699.15947102249</v>
      </c>
      <c r="D58" s="341">
        <f>IF('Part II-Sources of Funds'!$P$40="", 0,-'Part II-Sources of Funds'!$P$40)</f>
        <v>-252699.15947102249</v>
      </c>
      <c r="E58" s="341">
        <f>IF('Part II-Sources of Funds'!$P$40="", 0,-'Part II-Sources of Funds'!$P$40)</f>
        <v>-252699.15947102249</v>
      </c>
      <c r="F58" s="341">
        <f>IF('Part II-Sources of Funds'!$P$40="", 0,-'Part II-Sources of Funds'!$P$40)</f>
        <v>-252699.15947102249</v>
      </c>
      <c r="G58" s="341">
        <f>IF('Part II-Sources of Funds'!$P$40="", 0,-'Part II-Sources of Funds'!$P$40)</f>
        <v>-252699.15947102249</v>
      </c>
      <c r="H58" s="341">
        <f>IF('Part II-Sources of Funds'!$P$40="", 0,-'Part II-Sources of Funds'!$P$40)</f>
        <v>-252699.15947102249</v>
      </c>
      <c r="I58" s="341">
        <f>IF('Part II-Sources of Funds'!$P$40="", 0,-'Part II-Sources of Funds'!$P$40)</f>
        <v>-252699.15947102249</v>
      </c>
      <c r="J58" s="341">
        <f>IF('Part II-Sources of Funds'!$P$40="", 0,-'Part II-Sources of Funds'!$P$40)</f>
        <v>-252699.15947102249</v>
      </c>
      <c r="K58" s="341">
        <f>IF('Part II-Sources of Funds'!$P$40="", 0,-'Part II-Sources of Funds'!$P$40)</f>
        <v>-252699.15947102249</v>
      </c>
      <c r="N58" s="3488"/>
      <c r="O58" s="3490"/>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8"/>
      <c r="O59" s="3490"/>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8"/>
      <c r="O60" s="3490"/>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8"/>
      <c r="O61" s="3490"/>
      <c r="Z61" s="1631" t="s">
        <v>4359</v>
      </c>
      <c r="AA61" s="1633">
        <v>61</v>
      </c>
    </row>
    <row r="62" spans="1:27" ht="13.35" customHeight="1">
      <c r="A62" s="17" t="s">
        <v>710</v>
      </c>
      <c r="B62" s="138"/>
      <c r="C62" s="138"/>
      <c r="D62" s="138"/>
      <c r="E62" s="138"/>
      <c r="F62" s="138"/>
      <c r="G62" s="138"/>
      <c r="H62" s="138"/>
      <c r="I62" s="138"/>
      <c r="J62" s="138"/>
      <c r="K62" s="138"/>
      <c r="N62" s="3488"/>
      <c r="O62" s="3490"/>
      <c r="Q62" s="92"/>
      <c r="R62" s="856"/>
      <c r="Z62" s="1631" t="s">
        <v>4359</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88"/>
      <c r="O63" s="3490"/>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8"/>
      <c r="O64" s="3490"/>
      <c r="Z64" s="1631" t="s">
        <v>4359</v>
      </c>
      <c r="AA64" s="1633">
        <v>64</v>
      </c>
    </row>
    <row r="65" spans="1:27" ht="13.35" customHeight="1">
      <c r="A65" s="17" t="s">
        <v>1095</v>
      </c>
      <c r="B65" s="18">
        <f t="shared" ref="B65:K65" si="25">SUM(B57:B64)</f>
        <v>78648.867527034308</v>
      </c>
      <c r="C65" s="18">
        <f t="shared" si="25"/>
        <v>80269.612262914539</v>
      </c>
      <c r="D65" s="18">
        <f t="shared" si="25"/>
        <v>81767.921819390496</v>
      </c>
      <c r="E65" s="18">
        <f t="shared" si="25"/>
        <v>83137.265190649603</v>
      </c>
      <c r="F65" s="18">
        <f t="shared" si="25"/>
        <v>84368.877081697516</v>
      </c>
      <c r="G65" s="18">
        <f t="shared" si="25"/>
        <v>85456.749512500421</v>
      </c>
      <c r="H65" s="18">
        <f t="shared" si="25"/>
        <v>86392.623142912402</v>
      </c>
      <c r="I65" s="18">
        <f t="shared" si="25"/>
        <v>87166.978309454513</v>
      </c>
      <c r="J65" s="18">
        <f t="shared" si="25"/>
        <v>87773.025764755614</v>
      </c>
      <c r="K65" s="496">
        <f t="shared" si="25"/>
        <v>88200.697110153211</v>
      </c>
      <c r="N65" s="3488"/>
      <c r="O65" s="3490"/>
      <c r="Z65" s="1631" t="s">
        <v>4359</v>
      </c>
      <c r="AA65" s="1633">
        <v>65</v>
      </c>
    </row>
    <row r="66" spans="1:27" ht="13.35" customHeight="1">
      <c r="A66" s="17" t="str">
        <f>$A34</f>
        <v>DCR Mortgage A</v>
      </c>
      <c r="B66" s="20">
        <f t="shared" ref="B66:K66" si="26">IF(B58=0,"",-B57/B58)</f>
        <v>1.3409147371418668</v>
      </c>
      <c r="C66" s="20">
        <f t="shared" si="26"/>
        <v>1.3473284693413443</v>
      </c>
      <c r="D66" s="20">
        <f t="shared" si="26"/>
        <v>1.3532576918983659</v>
      </c>
      <c r="E66" s="20">
        <f t="shared" si="26"/>
        <v>1.3586765598286177</v>
      </c>
      <c r="F66" s="20">
        <f t="shared" si="26"/>
        <v>1.3635503864516507</v>
      </c>
      <c r="G66" s="20">
        <f t="shared" si="26"/>
        <v>1.3678553965398526</v>
      </c>
      <c r="H66" s="20">
        <f t="shared" si="26"/>
        <v>1.3715589056151145</v>
      </c>
      <c r="I66" s="20">
        <f t="shared" si="26"/>
        <v>1.3746232417536401</v>
      </c>
      <c r="J66" s="20">
        <f t="shared" si="26"/>
        <v>1.3770215380383202</v>
      </c>
      <c r="K66" s="21">
        <f t="shared" si="26"/>
        <v>1.3787139510494786</v>
      </c>
      <c r="N66" s="3488"/>
      <c r="O66" s="3490"/>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8"/>
      <c r="O67" s="3490"/>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8"/>
      <c r="O68" s="3490"/>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8"/>
      <c r="O69" s="3490"/>
      <c r="Z69" s="1631" t="s">
        <v>4359</v>
      </c>
      <c r="AA69" s="1633">
        <v>69</v>
      </c>
    </row>
    <row r="70" spans="1:27" ht="13.35" customHeight="1">
      <c r="A70" s="340" t="s">
        <v>3129</v>
      </c>
      <c r="B70" s="20">
        <f t="shared" ref="B70:K70" si="30">IF(AND(B58=0,B59=0,B60=0,B61=0),"",-B57/(B58+B59+B60+B61))</f>
        <v>1.3409147371418668</v>
      </c>
      <c r="C70" s="20">
        <f t="shared" si="30"/>
        <v>1.3473284693413443</v>
      </c>
      <c r="D70" s="20">
        <f t="shared" si="30"/>
        <v>1.3532576918983659</v>
      </c>
      <c r="E70" s="20">
        <f t="shared" si="30"/>
        <v>1.3586765598286177</v>
      </c>
      <c r="F70" s="20">
        <f t="shared" si="30"/>
        <v>1.3635503864516507</v>
      </c>
      <c r="G70" s="20">
        <f t="shared" si="30"/>
        <v>1.3678553965398526</v>
      </c>
      <c r="H70" s="20">
        <f t="shared" si="30"/>
        <v>1.3715589056151145</v>
      </c>
      <c r="I70" s="20">
        <f t="shared" si="30"/>
        <v>1.3746232417536401</v>
      </c>
      <c r="J70" s="20">
        <f t="shared" si="30"/>
        <v>1.3770215380383202</v>
      </c>
      <c r="K70" s="21">
        <f t="shared" si="30"/>
        <v>1.3787139510494786</v>
      </c>
      <c r="N70" s="3488"/>
      <c r="O70" s="3490"/>
      <c r="Z70" s="1631" t="s">
        <v>4359</v>
      </c>
      <c r="AA70" s="1633">
        <v>70</v>
      </c>
    </row>
    <row r="71" spans="1:27" ht="13.35" customHeight="1">
      <c r="A71" s="17" t="s">
        <v>717</v>
      </c>
      <c r="B71" s="220">
        <f t="shared" ref="B71:K71" si="31">IF(OR(B54="Choose mgt fee",B54="Choose One!"),"",(B47+B48+B49+B50+B51) / -(B53+B54+B55))</f>
        <v>1.6571412278512472</v>
      </c>
      <c r="C71" s="220">
        <f t="shared" si="31"/>
        <v>1.6410530342415228</v>
      </c>
      <c r="D71" s="220">
        <f t="shared" si="31"/>
        <v>1.6251205399258761</v>
      </c>
      <c r="E71" s="220">
        <f t="shared" si="31"/>
        <v>1.6093438702170519</v>
      </c>
      <c r="F71" s="220">
        <f t="shared" si="31"/>
        <v>1.5937175522476517</v>
      </c>
      <c r="G71" s="220">
        <f t="shared" si="31"/>
        <v>1.5782447775220327</v>
      </c>
      <c r="H71" s="220">
        <f t="shared" si="31"/>
        <v>1.562923104223982</v>
      </c>
      <c r="I71" s="220">
        <f t="shared" si="31"/>
        <v>1.5477479220228862</v>
      </c>
      <c r="J71" s="220">
        <f t="shared" si="31"/>
        <v>1.5327222756257866</v>
      </c>
      <c r="K71" s="221">
        <f t="shared" si="31"/>
        <v>1.5178419054797634</v>
      </c>
      <c r="N71" s="3488"/>
      <c r="O71" s="3490"/>
      <c r="Z71" s="1631" t="s">
        <v>4359</v>
      </c>
      <c r="AA71" s="1633">
        <v>71</v>
      </c>
    </row>
    <row r="72" spans="1:27" ht="13.35" customHeight="1">
      <c r="A72" s="340" t="s">
        <v>2399</v>
      </c>
      <c r="B72" s="177">
        <f>IF('Part II-Sources of Funds'!$I$40="","",-FV('Part II-Sources of Funds'!$K$40/12,12,B58/12,K40))</f>
        <v>2983939.9373456254</v>
      </c>
      <c r="C72" s="177">
        <f>IF('Part II-Sources of Funds'!$I$40="","",-FV('Part II-Sources of Funds'!$K$40/12,12,C58/12,B72))</f>
        <v>2954021.716465801</v>
      </c>
      <c r="D72" s="177">
        <f>IF('Part II-Sources of Funds'!$I$40="","",-FV('Part II-Sources of Funds'!$K$40/12,12,D58/12,C72))</f>
        <v>2921780.8663459271</v>
      </c>
      <c r="E72" s="177">
        <f>IF('Part II-Sources of Funds'!$I$40="","",-FV('Part II-Sources of Funds'!$K$40/12,12,E58/12,D72))</f>
        <v>2887037.0752419196</v>
      </c>
      <c r="F72" s="177">
        <f>IF('Part II-Sources of Funds'!$I$40="","",-FV('Part II-Sources of Funds'!$K$40/12,12,F58/12,E72))</f>
        <v>2849596.0333403968</v>
      </c>
      <c r="G72" s="177">
        <f>IF('Part II-Sources of Funds'!$I$40="","",-FV('Part II-Sources of Funds'!$K$40/12,12,G58/12,F72))</f>
        <v>2809248.3460521814</v>
      </c>
      <c r="H72" s="177">
        <f>IF('Part II-Sources of Funds'!$I$40="","",-FV('Part II-Sources of Funds'!$K$40/12,12,H58/12,G72))</f>
        <v>2765768.3629419515</v>
      </c>
      <c r="I72" s="177">
        <f>IF('Part II-Sources of Funds'!$I$40="","",-FV('Part II-Sources of Funds'!$K$40/12,12,I58/12,H72))</f>
        <v>2718912.9157446581</v>
      </c>
      <c r="J72" s="177">
        <f>IF('Part II-Sources of Funds'!$I$40="","",-FV('Part II-Sources of Funds'!$K$40/12,12,J58/12,I72))</f>
        <v>2668419.9584108773</v>
      </c>
      <c r="K72" s="177">
        <f>IF('Part II-Sources of Funds'!$I$40="","",-FV('Part II-Sources of Funds'!$K$40/12,12,K58/12,J72))</f>
        <v>2614007.1015753481</v>
      </c>
      <c r="N72" s="3488"/>
      <c r="O72" s="3490"/>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8"/>
      <c r="O73" s="3490"/>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8"/>
      <c r="O74" s="3490"/>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8"/>
      <c r="O75" s="3490"/>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1098055.6877321647</v>
      </c>
      <c r="C79" s="15">
        <f t="shared" si="33"/>
        <v>1120016.8014868079</v>
      </c>
      <c r="D79" s="15">
        <f t="shared" si="33"/>
        <v>1142417.137516544</v>
      </c>
      <c r="E79" s="15">
        <f t="shared" si="33"/>
        <v>1165265.4802668747</v>
      </c>
      <c r="F79" s="15">
        <f t="shared" si="33"/>
        <v>1188570.7898722123</v>
      </c>
      <c r="G79" s="15">
        <f t="shared" si="33"/>
        <v>1212342.2056696566</v>
      </c>
      <c r="H79" s="15">
        <f t="shared" si="33"/>
        <v>1236589.0497830498</v>
      </c>
      <c r="I79" s="15">
        <f t="shared" si="33"/>
        <v>1261320.8307787105</v>
      </c>
      <c r="J79" s="15">
        <f t="shared" si="33"/>
        <v>1286547.2473942852</v>
      </c>
      <c r="K79" s="16">
        <f t="shared" si="33"/>
        <v>1312278.1923421705</v>
      </c>
      <c r="N79" s="3508"/>
      <c r="O79" s="3510"/>
      <c r="Z79" s="1631" t="s">
        <v>4360</v>
      </c>
      <c r="AA79" s="1633">
        <v>79</v>
      </c>
    </row>
    <row r="80" spans="1:27" ht="13.35" customHeight="1">
      <c r="A80" s="17" t="s">
        <v>951</v>
      </c>
      <c r="B80" s="18">
        <f t="shared" ref="B80:K80" si="34">$B$16*(1+$B$6)^(B78-1)</f>
        <v>21961.113754643295</v>
      </c>
      <c r="C80" s="18">
        <f t="shared" si="34"/>
        <v>22400.336029736158</v>
      </c>
      <c r="D80" s="18">
        <f t="shared" si="34"/>
        <v>22848.342750330881</v>
      </c>
      <c r="E80" s="18">
        <f t="shared" si="34"/>
        <v>23305.309605337497</v>
      </c>
      <c r="F80" s="18">
        <f t="shared" si="34"/>
        <v>23771.415797444246</v>
      </c>
      <c r="G80" s="18">
        <f t="shared" si="34"/>
        <v>24246.844113393134</v>
      </c>
      <c r="H80" s="18">
        <f t="shared" si="34"/>
        <v>24731.780995660996</v>
      </c>
      <c r="I80" s="18">
        <f t="shared" si="34"/>
        <v>25226.416615574213</v>
      </c>
      <c r="J80" s="18">
        <f t="shared" si="34"/>
        <v>25730.944947885702</v>
      </c>
      <c r="K80" s="19">
        <f t="shared" si="34"/>
        <v>26245.563846843412</v>
      </c>
      <c r="N80" s="3488"/>
      <c r="O80" s="3490"/>
      <c r="Z80" s="1631" t="s">
        <v>4360</v>
      </c>
      <c r="AA80" s="1633">
        <v>80</v>
      </c>
    </row>
    <row r="81" spans="1:27" ht="13.35" customHeight="1">
      <c r="A81" s="17" t="s">
        <v>2210</v>
      </c>
      <c r="B81" s="18">
        <f t="shared" ref="B81:K81" si="35">-(B79+B80)*$B$9</f>
        <v>-78401.17610407657</v>
      </c>
      <c r="C81" s="18">
        <f t="shared" si="35"/>
        <v>-79969.199626158079</v>
      </c>
      <c r="D81" s="18">
        <f t="shared" si="35"/>
        <v>-81568.583618681252</v>
      </c>
      <c r="E81" s="18">
        <f t="shared" si="35"/>
        <v>-83199.955291054852</v>
      </c>
      <c r="F81" s="18">
        <f t="shared" si="35"/>
        <v>-84863.954396875968</v>
      </c>
      <c r="G81" s="18">
        <f t="shared" si="35"/>
        <v>-86561.233484813492</v>
      </c>
      <c r="H81" s="18">
        <f t="shared" si="35"/>
        <v>-88292.458154509761</v>
      </c>
      <c r="I81" s="18">
        <f t="shared" si="35"/>
        <v>-90058.307317599931</v>
      </c>
      <c r="J81" s="18">
        <f t="shared" si="35"/>
        <v>-91859.473463951974</v>
      </c>
      <c r="K81" s="19">
        <f t="shared" si="35"/>
        <v>-93696.662933230982</v>
      </c>
      <c r="N81" s="3488"/>
      <c r="O81" s="3490"/>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8"/>
      <c r="O82" s="3490"/>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8"/>
      <c r="O83" s="3490"/>
      <c r="Z83" s="1631" t="s">
        <v>4360</v>
      </c>
      <c r="AA83" s="1633">
        <v>83</v>
      </c>
    </row>
    <row r="84" spans="1:27" ht="13.35" customHeight="1">
      <c r="A84" s="340" t="s">
        <v>3714</v>
      </c>
      <c r="B84" s="18">
        <f t="shared" ref="B84:K84" si="36">SUM(B79:B83)</f>
        <v>1041615.6253827316</v>
      </c>
      <c r="C84" s="18">
        <f t="shared" si="36"/>
        <v>1062447.937890386</v>
      </c>
      <c r="D84" s="18">
        <f t="shared" si="36"/>
        <v>1083696.8966481937</v>
      </c>
      <c r="E84" s="18">
        <f t="shared" si="36"/>
        <v>1105370.8345811572</v>
      </c>
      <c r="F84" s="18">
        <f t="shared" si="36"/>
        <v>1127478.2512727806</v>
      </c>
      <c r="G84" s="18">
        <f t="shared" si="36"/>
        <v>1150027.8162982364</v>
      </c>
      <c r="H84" s="18">
        <f t="shared" si="36"/>
        <v>1173028.372624201</v>
      </c>
      <c r="I84" s="18">
        <f t="shared" si="36"/>
        <v>1196488.9400766848</v>
      </c>
      <c r="J84" s="18">
        <f t="shared" si="36"/>
        <v>1220418.7188782189</v>
      </c>
      <c r="K84" s="19">
        <f t="shared" si="36"/>
        <v>1244827.093255783</v>
      </c>
      <c r="N84" s="3488"/>
      <c r="O84" s="3490"/>
      <c r="Z84" s="1631" t="s">
        <v>4360</v>
      </c>
      <c r="AA84" s="1633">
        <v>84</v>
      </c>
    </row>
    <row r="85" spans="1:27" ht="13.35" customHeight="1">
      <c r="A85" s="17" t="s">
        <v>571</v>
      </c>
      <c r="B85" s="18">
        <f t="shared" ref="B85:K85" si="37">$B$21*(1+$B$7)^(B78-1)</f>
        <v>-551044.53769763804</v>
      </c>
      <c r="C85" s="18">
        <f t="shared" si="37"/>
        <v>-567575.8738285671</v>
      </c>
      <c r="D85" s="18">
        <f t="shared" si="37"/>
        <v>-584603.1500434241</v>
      </c>
      <c r="E85" s="18">
        <f t="shared" si="37"/>
        <v>-602141.24454472691</v>
      </c>
      <c r="F85" s="18">
        <f t="shared" si="37"/>
        <v>-620205.48188106855</v>
      </c>
      <c r="G85" s="18">
        <f t="shared" si="37"/>
        <v>-638811.64633750066</v>
      </c>
      <c r="H85" s="18">
        <f t="shared" si="37"/>
        <v>-657975.99572762579</v>
      </c>
      <c r="I85" s="18">
        <f t="shared" si="37"/>
        <v>-677715.27559945441</v>
      </c>
      <c r="J85" s="18">
        <f t="shared" si="37"/>
        <v>-698046.73386743804</v>
      </c>
      <c r="K85" s="19">
        <f t="shared" si="37"/>
        <v>-718988.1358834611</v>
      </c>
      <c r="N85" s="3488"/>
      <c r="O85" s="3490"/>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-77417</v>
      </c>
      <c r="C86" s="18">
        <f>IF(AND('Part VI-Pro Forma'!$G$9="Yes",'Part VI-Pro Forma'!$G$10="Yes"),"Choose One!",IF('Part VI-Pro Forma'!$G$9="Yes",ROUND((-$K$9*(1+'Part VI-Pro Forma'!$B$7)^('Part VI-Pro Forma'!C78-1)),),IF('Part VI-Pro Forma'!$G$10="Yes",ROUND((-(SUM(C79:C82)*'Part VI-Pro Forma'!$K$10)),),"Choose mgt fee")))</f>
        <v>-79740</v>
      </c>
      <c r="D86" s="18">
        <f>IF(AND('Part VI-Pro Forma'!$G$9="Yes",'Part VI-Pro Forma'!$G$10="Yes"),"Choose One!",IF('Part VI-Pro Forma'!$G$9="Yes",ROUND((-$K$9*(1+'Part VI-Pro Forma'!$B$7)^('Part VI-Pro Forma'!D78-1)),),IF('Part VI-Pro Forma'!$G$10="Yes",ROUND((-(SUM(D79:D82)*'Part VI-Pro Forma'!$K$10)),),"Choose mgt fee")))</f>
        <v>-82132</v>
      </c>
      <c r="E86" s="18">
        <f>IF(AND('Part VI-Pro Forma'!$G$9="Yes",'Part VI-Pro Forma'!$G$10="Yes"),"Choose One!",IF('Part VI-Pro Forma'!$G$9="Yes",ROUND((-$K$9*(1+'Part VI-Pro Forma'!$B$7)^('Part VI-Pro Forma'!E78-1)),),IF('Part VI-Pro Forma'!$G$10="Yes",ROUND((-(SUM(E79:E82)*'Part VI-Pro Forma'!$K$10)),),"Choose mgt fee")))</f>
        <v>-84596</v>
      </c>
      <c r="F86" s="18">
        <f>IF(AND('Part VI-Pro Forma'!$G$9="Yes",'Part VI-Pro Forma'!$G$10="Yes"),"Choose One!",IF('Part VI-Pro Forma'!$G$9="Yes",ROUND((-$K$9*(1+'Part VI-Pro Forma'!$B$7)^('Part VI-Pro Forma'!F78-1)),),IF('Part VI-Pro Forma'!$G$10="Yes",ROUND((-(SUM(F79:F82)*'Part VI-Pro Forma'!$K$10)),),"Choose mgt fee")))</f>
        <v>-87134</v>
      </c>
      <c r="G86" s="18">
        <f>IF(AND('Part VI-Pro Forma'!$G$9="Yes",'Part VI-Pro Forma'!$G$10="Yes"),"Choose One!",IF('Part VI-Pro Forma'!$G$9="Yes",ROUND((-$K$9*(1+'Part VI-Pro Forma'!$B$7)^('Part VI-Pro Forma'!G78-1)),),IF('Part VI-Pro Forma'!$G$10="Yes",ROUND((-(SUM(G79:G82)*'Part VI-Pro Forma'!$K$10)),),"Choose mgt fee")))</f>
        <v>-89748</v>
      </c>
      <c r="H86" s="18">
        <f>IF(AND('Part VI-Pro Forma'!$G$9="Yes",'Part VI-Pro Forma'!$G$10="Yes"),"Choose One!",IF('Part VI-Pro Forma'!$G$9="Yes",ROUND((-$K$9*(1+'Part VI-Pro Forma'!$B$7)^('Part VI-Pro Forma'!H78-1)),),IF('Part VI-Pro Forma'!$G$10="Yes",ROUND((-(SUM(H79:H82)*'Part VI-Pro Forma'!$K$10)),),"Choose mgt fee")))</f>
        <v>-92440</v>
      </c>
      <c r="I86" s="18">
        <f>IF(AND('Part VI-Pro Forma'!$G$9="Yes",'Part VI-Pro Forma'!$G$10="Yes"),"Choose One!",IF('Part VI-Pro Forma'!$G$9="Yes",ROUND((-$K$9*(1+'Part VI-Pro Forma'!$B$7)^('Part VI-Pro Forma'!I78-1)),),IF('Part VI-Pro Forma'!$G$10="Yes",ROUND((-(SUM(I79:I82)*'Part VI-Pro Forma'!$K$10)),),"Choose mgt fee")))</f>
        <v>-95213</v>
      </c>
      <c r="J86" s="18">
        <f>IF(AND('Part VI-Pro Forma'!$G$9="Yes",'Part VI-Pro Forma'!$G$10="Yes"),"Choose One!",IF('Part VI-Pro Forma'!$G$9="Yes",ROUND((-$K$9*(1+'Part VI-Pro Forma'!$B$7)^('Part VI-Pro Forma'!J78-1)),),IF('Part VI-Pro Forma'!$G$10="Yes",ROUND((-(SUM(J79:J82)*'Part VI-Pro Forma'!$K$10)),),"Choose mgt fee")))</f>
        <v>-98070</v>
      </c>
      <c r="K86" s="19">
        <f>IF(AND('Part VI-Pro Forma'!$G$9="Yes",'Part VI-Pro Forma'!$G$10="Yes"),"Choose One!",IF('Part VI-Pro Forma'!$G$9="Yes",ROUND((-$K$9*(1+'Part VI-Pro Forma'!$B$7)^('Part VI-Pro Forma'!K78-1)),),IF('Part VI-Pro Forma'!$G$10="Yes",ROUND((-(SUM(K79:K82)*'Part VI-Pro Forma'!$K$10)),),"Choose mgt fee")))</f>
        <v>-101012</v>
      </c>
      <c r="N86" s="3488"/>
      <c r="O86" s="3490"/>
      <c r="Z86" s="1631" t="s">
        <v>4360</v>
      </c>
      <c r="AA86" s="1633">
        <v>86</v>
      </c>
    </row>
    <row r="87" spans="1:27" ht="13.35" customHeight="1">
      <c r="A87" s="17" t="s">
        <v>1127</v>
      </c>
      <c r="B87" s="18">
        <f t="shared" ref="B87:K87" si="38">$B$23*(1+$B$8)^(B78-1)</f>
        <v>-64514.293302391445</v>
      </c>
      <c r="C87" s="18">
        <f t="shared" si="38"/>
        <v>-66449.72210146318</v>
      </c>
      <c r="D87" s="18">
        <f t="shared" si="38"/>
        <v>-68443.213764507076</v>
      </c>
      <c r="E87" s="18">
        <f t="shared" si="38"/>
        <v>-70496.510177442295</v>
      </c>
      <c r="F87" s="18">
        <f t="shared" si="38"/>
        <v>-72611.405482765549</v>
      </c>
      <c r="G87" s="18">
        <f t="shared" si="38"/>
        <v>-74789.747647248514</v>
      </c>
      <c r="H87" s="18">
        <f t="shared" si="38"/>
        <v>-77033.440076665982</v>
      </c>
      <c r="I87" s="18">
        <f t="shared" si="38"/>
        <v>-79344.443278965962</v>
      </c>
      <c r="J87" s="18">
        <f t="shared" si="38"/>
        <v>-81724.776577334938</v>
      </c>
      <c r="K87" s="19">
        <f t="shared" si="38"/>
        <v>-84176.519874654972</v>
      </c>
      <c r="N87" s="3488"/>
      <c r="O87" s="3490"/>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8"/>
      <c r="O88" s="3490"/>
      <c r="Z88" s="1631" t="s">
        <v>4360</v>
      </c>
      <c r="AA88" s="1633">
        <v>88</v>
      </c>
    </row>
    <row r="89" spans="1:27" ht="13.35" customHeight="1">
      <c r="A89" s="17" t="s">
        <v>1128</v>
      </c>
      <c r="B89" s="18">
        <f t="shared" ref="B89:K89" si="39">SUM(B84:B88)</f>
        <v>348639.79438270209</v>
      </c>
      <c r="C89" s="18">
        <f t="shared" si="39"/>
        <v>348682.3419603557</v>
      </c>
      <c r="D89" s="18">
        <f t="shared" si="39"/>
        <v>348518.53284026252</v>
      </c>
      <c r="E89" s="18">
        <f t="shared" si="39"/>
        <v>348137.079858988</v>
      </c>
      <c r="F89" s="18">
        <f t="shared" si="39"/>
        <v>347527.36390894651</v>
      </c>
      <c r="G89" s="18">
        <f t="shared" si="39"/>
        <v>346678.42231348722</v>
      </c>
      <c r="H89" s="18">
        <f t="shared" si="39"/>
        <v>345578.93681990926</v>
      </c>
      <c r="I89" s="18">
        <f t="shared" si="39"/>
        <v>344216.22119826445</v>
      </c>
      <c r="J89" s="18">
        <f t="shared" si="39"/>
        <v>342577.20843344589</v>
      </c>
      <c r="K89" s="1156">
        <f t="shared" si="39"/>
        <v>340650.43749766692</v>
      </c>
      <c r="N89" s="3488"/>
      <c r="O89" s="3490"/>
      <c r="Z89" s="1631" t="s">
        <v>4360</v>
      </c>
      <c r="AA89" s="1633">
        <v>89</v>
      </c>
    </row>
    <row r="90" spans="1:27" ht="13.35" customHeight="1">
      <c r="A90" s="17" t="str">
        <f>$A58</f>
        <v>Mortgage A</v>
      </c>
      <c r="B90" s="341">
        <f>IF('Part II-Sources of Funds'!$P$40="", 0,-'Part II-Sources of Funds'!$P$40)</f>
        <v>-252699.15947102249</v>
      </c>
      <c r="C90" s="341">
        <f>IF('Part II-Sources of Funds'!$P$40="", 0,-'Part II-Sources of Funds'!$P$40)</f>
        <v>-252699.15947102249</v>
      </c>
      <c r="D90" s="341">
        <f>IF('Part II-Sources of Funds'!$P$40="", 0,-'Part II-Sources of Funds'!$P$40)</f>
        <v>-252699.15947102249</v>
      </c>
      <c r="E90" s="341">
        <f>IF('Part II-Sources of Funds'!$P$40="", 0,-'Part II-Sources of Funds'!$P$40)</f>
        <v>-252699.15947102249</v>
      </c>
      <c r="F90" s="341">
        <f>IF('Part II-Sources of Funds'!$P$40="", 0,-'Part II-Sources of Funds'!$P$40)</f>
        <v>-252699.15947102249</v>
      </c>
      <c r="G90" s="341">
        <f>IF('Part II-Sources of Funds'!$P$40="", 0,-'Part II-Sources of Funds'!$P$40)</f>
        <v>-252699.15947102249</v>
      </c>
      <c r="H90" s="341">
        <f>IF('Part II-Sources of Funds'!$P$40="", 0,-'Part II-Sources of Funds'!$P$40)</f>
        <v>-252699.15947102249</v>
      </c>
      <c r="I90" s="341">
        <f>IF('Part II-Sources of Funds'!$P$40="", 0,-'Part II-Sources of Funds'!$P$40)</f>
        <v>-252699.15947102249</v>
      </c>
      <c r="J90" s="341">
        <f>IF('Part II-Sources of Funds'!$P$40="", 0,-'Part II-Sources of Funds'!$P$40)</f>
        <v>-252699.15947102249</v>
      </c>
      <c r="K90" s="341">
        <f>IF('Part II-Sources of Funds'!$P$40="", 0,-'Part II-Sources of Funds'!$P$40)</f>
        <v>-252699.15947102249</v>
      </c>
      <c r="N90" s="3488"/>
      <c r="O90" s="3490"/>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8"/>
      <c r="O91" s="3490"/>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8"/>
      <c r="O92" s="3490"/>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8"/>
      <c r="O93" s="3490"/>
      <c r="Z93" s="1631" t="s">
        <v>4360</v>
      </c>
      <c r="AA93" s="1633">
        <v>93</v>
      </c>
    </row>
    <row r="94" spans="1:27" ht="13.35" customHeight="1">
      <c r="A94" s="17" t="s">
        <v>710</v>
      </c>
      <c r="B94" s="138"/>
      <c r="C94" s="138"/>
      <c r="D94" s="138"/>
      <c r="E94" s="138"/>
      <c r="F94" s="138"/>
      <c r="G94" s="138"/>
      <c r="H94" s="138"/>
      <c r="I94" s="138"/>
      <c r="J94" s="138"/>
      <c r="K94" s="138"/>
      <c r="N94" s="3488"/>
      <c r="O94" s="3490"/>
      <c r="Z94" s="1631" t="s">
        <v>4360</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88"/>
      <c r="O95" s="3490"/>
      <c r="Z95" s="1631" t="s">
        <v>4360</v>
      </c>
      <c r="AA95" s="1633">
        <v>95</v>
      </c>
    </row>
    <row r="96" spans="1:27" ht="13.35" customHeight="1">
      <c r="A96" s="17" t="s">
        <v>1095</v>
      </c>
      <c r="B96" s="18">
        <f t="shared" ref="B96:K96" si="41">SUM(B89:B95)</f>
        <v>88440.634911679605</v>
      </c>
      <c r="C96" s="18">
        <f t="shared" si="41"/>
        <v>88483.182489333209</v>
      </c>
      <c r="D96" s="18">
        <f t="shared" si="41"/>
        <v>88319.373369240027</v>
      </c>
      <c r="E96" s="18">
        <f t="shared" si="41"/>
        <v>87937.920387965511</v>
      </c>
      <c r="F96" s="18">
        <f t="shared" si="41"/>
        <v>87328.204437924025</v>
      </c>
      <c r="G96" s="18">
        <f t="shared" si="41"/>
        <v>86479.262842464726</v>
      </c>
      <c r="H96" s="18">
        <f t="shared" si="41"/>
        <v>85379.777348886768</v>
      </c>
      <c r="I96" s="18">
        <f t="shared" si="41"/>
        <v>84017.061727241962</v>
      </c>
      <c r="J96" s="18">
        <f t="shared" si="41"/>
        <v>82378.048962423403</v>
      </c>
      <c r="K96" s="19">
        <f t="shared" si="41"/>
        <v>80451.278026644432</v>
      </c>
      <c r="N96" s="3488"/>
      <c r="O96" s="3490"/>
      <c r="Z96" s="1631" t="s">
        <v>4360</v>
      </c>
      <c r="AA96" s="1633">
        <v>96</v>
      </c>
    </row>
    <row r="97" spans="1:27" ht="13.35" customHeight="1">
      <c r="A97" s="17" t="str">
        <f>$A66</f>
        <v>DCR Mortgage A</v>
      </c>
      <c r="B97" s="20">
        <f t="shared" ref="B97:K97" si="42">IF(B90=0,"",-B89/B90)</f>
        <v>1.3796634508500663</v>
      </c>
      <c r="C97" s="20">
        <f t="shared" si="42"/>
        <v>1.379831823304263</v>
      </c>
      <c r="D97" s="20">
        <f t="shared" si="42"/>
        <v>1.3791835856115218</v>
      </c>
      <c r="E97" s="20">
        <f t="shared" si="42"/>
        <v>1.3776740713651228</v>
      </c>
      <c r="F97" s="20">
        <f t="shared" si="42"/>
        <v>1.3752612578388816</v>
      </c>
      <c r="G97" s="20">
        <f t="shared" si="42"/>
        <v>1.3719017627094305</v>
      </c>
      <c r="H97" s="20">
        <f t="shared" si="42"/>
        <v>1.3675507965412821</v>
      </c>
      <c r="I97" s="20">
        <f t="shared" si="42"/>
        <v>1.3621581564371463</v>
      </c>
      <c r="J97" s="20">
        <f t="shared" si="42"/>
        <v>1.3556721326282444</v>
      </c>
      <c r="K97" s="21">
        <f t="shared" si="42"/>
        <v>1.3480473706788485</v>
      </c>
      <c r="N97" s="3488"/>
      <c r="O97" s="3490"/>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8"/>
      <c r="O98" s="3490"/>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8"/>
      <c r="O99" s="3490"/>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8"/>
      <c r="O100" s="3490"/>
      <c r="Z100" s="1631" t="s">
        <v>4360</v>
      </c>
      <c r="AA100" s="1633">
        <v>100</v>
      </c>
    </row>
    <row r="101" spans="1:27" ht="13.35" customHeight="1">
      <c r="A101" s="340" t="s">
        <v>3129</v>
      </c>
      <c r="B101" s="20">
        <f t="shared" ref="B101:K101" si="46">IF(AND(B90=0,B91=0,B92=0,B93=0),"",-B89/(B90+B91+B92+B93))</f>
        <v>1.3796634508500663</v>
      </c>
      <c r="C101" s="20">
        <f t="shared" si="46"/>
        <v>1.379831823304263</v>
      </c>
      <c r="D101" s="20">
        <f t="shared" si="46"/>
        <v>1.3791835856115218</v>
      </c>
      <c r="E101" s="20">
        <f t="shared" si="46"/>
        <v>1.3776740713651228</v>
      </c>
      <c r="F101" s="20">
        <f t="shared" si="46"/>
        <v>1.3752612578388816</v>
      </c>
      <c r="G101" s="20">
        <f t="shared" si="46"/>
        <v>1.3719017627094305</v>
      </c>
      <c r="H101" s="20">
        <f t="shared" si="46"/>
        <v>1.3675507965412821</v>
      </c>
      <c r="I101" s="20">
        <f t="shared" si="46"/>
        <v>1.3621581564371463</v>
      </c>
      <c r="J101" s="20">
        <f t="shared" si="46"/>
        <v>1.3556721326282444</v>
      </c>
      <c r="K101" s="21">
        <f t="shared" si="46"/>
        <v>1.3480473706788485</v>
      </c>
      <c r="N101" s="3488"/>
      <c r="O101" s="3490"/>
      <c r="Z101" s="1631" t="s">
        <v>4360</v>
      </c>
      <c r="AA101" s="1633">
        <v>101</v>
      </c>
    </row>
    <row r="102" spans="1:27" ht="13.35" customHeight="1">
      <c r="A102" s="17" t="s">
        <v>717</v>
      </c>
      <c r="B102" s="220">
        <f>IF(OR(B86="Choose mgt fee",B86="Choose One!"),"",(B79+B80+B81+B82+B83) / -(B85+B86+B87))</f>
        <v>1.5031052726320657</v>
      </c>
      <c r="C102" s="220">
        <f t="shared" ref="C102:K102" si="47">IF(OR(C86="Choose mgt fee",C86="Choose One!"),"",(C79+C80+C81+C82+C83) / -(C85+C86+C87))</f>
        <v>1.4885109956946379</v>
      </c>
      <c r="D102" s="220">
        <f t="shared" si="47"/>
        <v>1.4740598336369357</v>
      </c>
      <c r="E102" s="220">
        <f t="shared" si="47"/>
        <v>1.4597484960066529</v>
      </c>
      <c r="F102" s="220">
        <f t="shared" si="47"/>
        <v>1.4455759581011038</v>
      </c>
      <c r="G102" s="220">
        <f t="shared" si="47"/>
        <v>1.4315412757006056</v>
      </c>
      <c r="H102" s="220">
        <f t="shared" si="47"/>
        <v>1.4176435705512349</v>
      </c>
      <c r="I102" s="220">
        <f t="shared" si="47"/>
        <v>1.4038803701839107</v>
      </c>
      <c r="J102" s="220">
        <f t="shared" si="47"/>
        <v>1.3902494976113324</v>
      </c>
      <c r="K102" s="221">
        <f t="shared" si="47"/>
        <v>1.3767520819391705</v>
      </c>
      <c r="N102" s="3488"/>
      <c r="O102" s="3490"/>
      <c r="Z102" s="1631" t="s">
        <v>4360</v>
      </c>
      <c r="AA102" s="1633">
        <v>102</v>
      </c>
    </row>
    <row r="103" spans="1:27" ht="13.35" customHeight="1">
      <c r="A103" s="340" t="s">
        <v>2399</v>
      </c>
      <c r="B103" s="177">
        <f>IF('Part II-Sources of Funds'!$I$40="","",-FV('Part II-Sources of Funds'!$K$40/12,12,B90/12,K72))</f>
        <v>2555370.0332524958</v>
      </c>
      <c r="C103" s="177">
        <f>IF('Part II-Sources of Funds'!$I$40="","",-FV('Part II-Sources of Funds'!$K$40/12,12,C90/12,B103))</f>
        <v>2492180.8169264421</v>
      </c>
      <c r="D103" s="177">
        <f>IF('Part II-Sources of Funds'!$I$40="","",-FV('Part II-Sources of Funds'!$K$40/12,12,D90/12,C103))</f>
        <v>2424086.0575173208</v>
      </c>
      <c r="E103" s="177">
        <f>IF('Part II-Sources of Funds'!$I$40="","",-FV('Part II-Sources of Funds'!$K$40/12,12,E90/12,D103))</f>
        <v>2350704.924966793</v>
      </c>
      <c r="F103" s="177">
        <f>IF('Part II-Sources of Funds'!$I$40="","",-FV('Part II-Sources of Funds'!$K$40/12,12,F90/12,E103))</f>
        <v>2271627.0243893689</v>
      </c>
      <c r="G103" s="177">
        <f>IF('Part II-Sources of Funds'!$I$40="","",-FV('Part II-Sources of Funds'!$K$40/12,12,G90/12,F103))</f>
        <v>2186410.1008780408</v>
      </c>
      <c r="H103" s="177">
        <f>IF('Part II-Sources of Funds'!$I$40="","",-FV('Part II-Sources of Funds'!$K$40/12,12,H90/12,G103))</f>
        <v>2094577.5661280125</v>
      </c>
      <c r="I103" s="177">
        <f>IF('Part II-Sources of Funds'!$I$40="","",-FV('Part II-Sources of Funds'!$K$40/12,12,I90/12,H103))</f>
        <v>1995615.8330458028</v>
      </c>
      <c r="J103" s="177">
        <f>IF('Part II-Sources of Funds'!$I$40="","",-FV('Part II-Sources of Funds'!$K$40/12,12,J90/12,I103))</f>
        <v>1888971.4434371244</v>
      </c>
      <c r="K103" s="177">
        <f>IF('Part II-Sources of Funds'!$I$40="","",-FV('Part II-Sources of Funds'!$K$40/12,12,K90/12,J103))</f>
        <v>1774047.9727097088</v>
      </c>
      <c r="N103" s="3488"/>
      <c r="O103" s="3490"/>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8"/>
      <c r="O104" s="3490"/>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8"/>
      <c r="O105" s="3490"/>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3" t="s">
        <v>3121</v>
      </c>
      <c r="O108" s="3153"/>
      <c r="AA108" s="1633">
        <v>108</v>
      </c>
    </row>
    <row r="109" spans="1:27" ht="13.35" customHeight="1">
      <c r="A109" s="14" t="s">
        <v>2209</v>
      </c>
      <c r="B109" s="15">
        <f>$B$15*(1+$B$6)^(B108-1)</f>
        <v>1338523.7561890141</v>
      </c>
      <c r="C109" s="15">
        <f>$B$15*(1+$B$6)^(C108-1)</f>
        <v>1365294.2313127941</v>
      </c>
      <c r="D109" s="15">
        <f>$B$15*(1+$B$6)^(D108-1)</f>
        <v>1392600.1159390502</v>
      </c>
      <c r="E109" s="15">
        <f>$B$15*(1+$B$6)^(E108-1)</f>
        <v>1420452.1182578313</v>
      </c>
      <c r="F109" s="496">
        <f>$B$15*(1+$B$6)^(F108-1)</f>
        <v>1448861.1606229879</v>
      </c>
      <c r="G109" s="13"/>
      <c r="H109" s="13"/>
      <c r="I109" s="13"/>
      <c r="J109" s="13"/>
      <c r="K109" s="13"/>
      <c r="N109" s="3508"/>
      <c r="O109" s="3510"/>
      <c r="Z109" s="1631" t="s">
        <v>4361</v>
      </c>
      <c r="AA109" s="1633">
        <v>109</v>
      </c>
    </row>
    <row r="110" spans="1:27" ht="13.35" customHeight="1">
      <c r="A110" s="17" t="s">
        <v>951</v>
      </c>
      <c r="B110" s="18">
        <f>$B$16*(1+$B$6)^(B108-1)</f>
        <v>26770.475123780281</v>
      </c>
      <c r="C110" s="18">
        <f>$B$16*(1+$B$6)^(C108-1)</f>
        <v>27305.884626255884</v>
      </c>
      <c r="D110" s="18">
        <f>$B$16*(1+$B$6)^(D108-1)</f>
        <v>27852.002318781004</v>
      </c>
      <c r="E110" s="18">
        <f>$B$16*(1+$B$6)^(E108-1)</f>
        <v>28409.042365156627</v>
      </c>
      <c r="F110" s="19">
        <f>$B$16*(1+$B$6)^(F108-1)</f>
        <v>28977.223212459758</v>
      </c>
      <c r="G110" s="13"/>
      <c r="H110" s="13"/>
      <c r="I110" s="13"/>
      <c r="J110" s="13"/>
      <c r="K110" s="13"/>
      <c r="N110" s="3488"/>
      <c r="O110" s="3490"/>
      <c r="Z110" s="1631" t="s">
        <v>4361</v>
      </c>
      <c r="AA110" s="1633">
        <v>110</v>
      </c>
    </row>
    <row r="111" spans="1:27" ht="13.35" customHeight="1">
      <c r="A111" s="17" t="s">
        <v>2210</v>
      </c>
      <c r="B111" s="18">
        <f>-(B109+B110)*$B$9</f>
        <v>-95570.596191895616</v>
      </c>
      <c r="C111" s="18">
        <f>-(C109+C110)*$B$9</f>
        <v>-97482.008115733508</v>
      </c>
      <c r="D111" s="18">
        <f>-(D109+D110)*$B$9</f>
        <v>-99431.648278048204</v>
      </c>
      <c r="E111" s="18">
        <f>-(E109+E110)*$B$9</f>
        <v>-101420.28124360916</v>
      </c>
      <c r="F111" s="19">
        <f>-(F109+F110)*$B$9</f>
        <v>-103448.68686848135</v>
      </c>
      <c r="G111" s="13"/>
      <c r="H111" s="13"/>
      <c r="I111" s="13"/>
      <c r="J111" s="13"/>
      <c r="K111" s="13"/>
      <c r="N111" s="3488"/>
      <c r="O111" s="3490"/>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8"/>
      <c r="O112" s="3490"/>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8"/>
      <c r="O113" s="3490"/>
      <c r="Z113" s="1631" t="s">
        <v>4361</v>
      </c>
      <c r="AA113" s="1633">
        <v>113</v>
      </c>
    </row>
    <row r="114" spans="1:27" ht="13.35" customHeight="1">
      <c r="A114" s="340" t="s">
        <v>3714</v>
      </c>
      <c r="B114" s="18">
        <f>SUM(B109:B113)</f>
        <v>1269723.6351208987</v>
      </c>
      <c r="C114" s="18">
        <f>SUM(C109:C113)</f>
        <v>1295118.1078233165</v>
      </c>
      <c r="D114" s="18">
        <f>SUM(D109:D113)</f>
        <v>1321020.4699797831</v>
      </c>
      <c r="E114" s="18">
        <f>SUM(E109:E113)</f>
        <v>1347440.8793793786</v>
      </c>
      <c r="F114" s="19">
        <f>SUM(F109:F113)</f>
        <v>1374389.6969669664</v>
      </c>
      <c r="G114" s="13"/>
      <c r="H114" s="13"/>
      <c r="I114" s="13"/>
      <c r="J114" s="13"/>
      <c r="K114" s="13"/>
      <c r="N114" s="3488"/>
      <c r="O114" s="3490"/>
      <c r="Z114" s="1631" t="s">
        <v>4361</v>
      </c>
      <c r="AA114" s="1633">
        <v>114</v>
      </c>
    </row>
    <row r="115" spans="1:27" ht="13.35" customHeight="1">
      <c r="A115" s="17" t="s">
        <v>571</v>
      </c>
      <c r="B115" s="18">
        <f>$B$21*(1+$B$7)^(B108-1)</f>
        <v>-740557.77995996503</v>
      </c>
      <c r="C115" s="18">
        <f>$B$21*(1+$B$7)^(C108-1)</f>
        <v>-762774.51335876412</v>
      </c>
      <c r="D115" s="18">
        <f>$B$21*(1+$B$7)^(D108-1)</f>
        <v>-785657.74875952688</v>
      </c>
      <c r="E115" s="18">
        <f>$B$21*(1+$B$7)^(E108-1)</f>
        <v>-809227.48122231266</v>
      </c>
      <c r="F115" s="19">
        <f>$B$21*(1+$B$7)^(F108-1)</f>
        <v>-833504.3056589819</v>
      </c>
      <c r="G115" s="13"/>
      <c r="H115" s="13"/>
      <c r="I115" s="13"/>
      <c r="J115" s="13"/>
      <c r="K115" s="13"/>
      <c r="N115" s="3488"/>
      <c r="O115" s="3490"/>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-104042</v>
      </c>
      <c r="C116" s="18">
        <f>IF(AND('Part VI-Pro Forma'!$G$9="Yes",'Part VI-Pro Forma'!$G$10="Yes"),"Choose One!",IF('Part VI-Pro Forma'!$G$9="Yes",ROUND((-$K$9*(1+'Part VI-Pro Forma'!$B$7)^('Part VI-Pro Forma'!C108-1)),),IF('Part VI-Pro Forma'!$G$10="Yes",ROUND((-(SUM(C109:C112)*'Part VI-Pro Forma'!$K$10)),),"Choose mgt fee")))</f>
        <v>-107163</v>
      </c>
      <c r="D116" s="18">
        <f>IF(AND('Part VI-Pro Forma'!$G$9="Yes",'Part VI-Pro Forma'!$G$10="Yes"),"Choose One!",IF('Part VI-Pro Forma'!$G$9="Yes",ROUND((-$K$9*(1+'Part VI-Pro Forma'!$B$7)^('Part VI-Pro Forma'!D108-1)),),IF('Part VI-Pro Forma'!$G$10="Yes",ROUND((-(SUM(D109:D112)*'Part VI-Pro Forma'!$K$10)),),"Choose mgt fee")))</f>
        <v>-110378</v>
      </c>
      <c r="E116" s="18">
        <f>IF(AND('Part VI-Pro Forma'!$G$9="Yes",'Part VI-Pro Forma'!$G$10="Yes"),"Choose One!",IF('Part VI-Pro Forma'!$G$9="Yes",ROUND((-$K$9*(1+'Part VI-Pro Forma'!$B$7)^('Part VI-Pro Forma'!E108-1)),),IF('Part VI-Pro Forma'!$G$10="Yes",ROUND((-(SUM(E109:E112)*'Part VI-Pro Forma'!$K$10)),),"Choose mgt fee")))</f>
        <v>-113690</v>
      </c>
      <c r="F116" s="19">
        <f>IF(AND('Part VI-Pro Forma'!$G$9="Yes",'Part VI-Pro Forma'!$G$10="Yes"),"Choose One!",IF('Part VI-Pro Forma'!$G$9="Yes",ROUND((-$K$9*(1+'Part VI-Pro Forma'!$B$7)^('Part VI-Pro Forma'!F108-1)),),IF('Part VI-Pro Forma'!$G$10="Yes",ROUND((-(SUM(F109:F112)*'Part VI-Pro Forma'!$K$10)),),"Choose mgt fee")))</f>
        <v>-117100</v>
      </c>
      <c r="G116" s="13"/>
      <c r="H116" s="13"/>
      <c r="I116" s="13"/>
      <c r="J116" s="13"/>
      <c r="K116" s="13"/>
      <c r="N116" s="3488"/>
      <c r="O116" s="3490"/>
      <c r="Z116" s="1631" t="s">
        <v>4361</v>
      </c>
      <c r="AA116" s="1633">
        <v>116</v>
      </c>
    </row>
    <row r="117" spans="1:27" ht="13.35" customHeight="1">
      <c r="A117" s="17" t="s">
        <v>1127</v>
      </c>
      <c r="B117" s="18">
        <f>$B$23*(1+$B$8)^(B108-1)</f>
        <v>-86701.815470894624</v>
      </c>
      <c r="C117" s="18">
        <f>$B$23*(1+$B$8)^(C108-1)</f>
        <v>-89302.869935021474</v>
      </c>
      <c r="D117" s="18">
        <f>$B$23*(1+$B$8)^(D108-1)</f>
        <v>-91981.9560330721</v>
      </c>
      <c r="E117" s="18">
        <f>$B$23*(1+$B$8)^(E108-1)</f>
        <v>-94741.414714064274</v>
      </c>
      <c r="F117" s="19">
        <f>$B$23*(1+$B$8)^(F108-1)</f>
        <v>-97583.657155486188</v>
      </c>
      <c r="G117" s="13"/>
      <c r="H117" s="13"/>
      <c r="I117" s="13"/>
      <c r="J117" s="13"/>
      <c r="K117" s="13"/>
      <c r="N117" s="3488"/>
      <c r="O117" s="3490"/>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8"/>
      <c r="O118" s="3490"/>
      <c r="Z118" s="1631" t="s">
        <v>4361</v>
      </c>
      <c r="AA118" s="1633">
        <v>118</v>
      </c>
    </row>
    <row r="119" spans="1:27" ht="13.35" customHeight="1">
      <c r="A119" s="17" t="s">
        <v>1128</v>
      </c>
      <c r="B119" s="18">
        <f>SUM(B114:B118)</f>
        <v>338422.03969003906</v>
      </c>
      <c r="C119" s="18">
        <f>SUM(C114:C118)</f>
        <v>335877.72452953085</v>
      </c>
      <c r="D119" s="18">
        <f>SUM(D114:D118)</f>
        <v>333002.76518718409</v>
      </c>
      <c r="E119" s="18">
        <f>SUM(E114:E118)</f>
        <v>329781.98344300169</v>
      </c>
      <c r="F119" s="1156">
        <f>SUM(F114:F118)</f>
        <v>326201.73415249831</v>
      </c>
      <c r="G119" s="13"/>
      <c r="H119" s="13"/>
      <c r="I119" s="13"/>
      <c r="J119" s="13"/>
      <c r="K119" s="13"/>
      <c r="N119" s="3488"/>
      <c r="O119" s="3490"/>
      <c r="Z119" s="1631" t="s">
        <v>4361</v>
      </c>
      <c r="AA119" s="1633">
        <v>119</v>
      </c>
    </row>
    <row r="120" spans="1:27" ht="13.35" customHeight="1">
      <c r="A120" s="17" t="str">
        <f>$A90</f>
        <v>Mortgage A</v>
      </c>
      <c r="B120" s="341">
        <f>IF('Part II-Sources of Funds'!$P$40="", 0,-'Part II-Sources of Funds'!$P$40)</f>
        <v>-252699.15947102249</v>
      </c>
      <c r="C120" s="341">
        <f>IF('Part II-Sources of Funds'!$P$40="", 0,-'Part II-Sources of Funds'!$P$40)</f>
        <v>-252699.15947102249</v>
      </c>
      <c r="D120" s="341">
        <f>IF('Part II-Sources of Funds'!$P$40="", 0,-'Part II-Sources of Funds'!$P$40)</f>
        <v>-252699.15947102249</v>
      </c>
      <c r="E120" s="341">
        <f>IF('Part II-Sources of Funds'!$P$40="", 0,-'Part II-Sources of Funds'!$P$40)</f>
        <v>-252699.15947102249</v>
      </c>
      <c r="F120" s="341">
        <f>IF('Part II-Sources of Funds'!$P$40="", 0,-'Part II-Sources of Funds'!$P$40)</f>
        <v>-252699.15947102249</v>
      </c>
      <c r="G120" s="13"/>
      <c r="H120" s="13"/>
      <c r="I120" s="13"/>
      <c r="J120" s="13"/>
      <c r="K120" s="13"/>
      <c r="N120" s="3488"/>
      <c r="O120" s="3490"/>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8"/>
      <c r="O121" s="3490"/>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8"/>
      <c r="O122" s="3490"/>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8"/>
      <c r="O123" s="3490"/>
      <c r="Z123" s="1631" t="s">
        <v>4361</v>
      </c>
      <c r="AA123" s="1633">
        <v>123</v>
      </c>
    </row>
    <row r="124" spans="1:27" ht="13.35" customHeight="1">
      <c r="A124" s="17" t="s">
        <v>710</v>
      </c>
      <c r="B124" s="138"/>
      <c r="C124" s="138"/>
      <c r="D124" s="138"/>
      <c r="E124" s="138"/>
      <c r="F124" s="138"/>
      <c r="G124" s="13"/>
      <c r="H124" s="13"/>
      <c r="I124" s="13"/>
      <c r="J124" s="13"/>
      <c r="K124" s="13"/>
      <c r="N124" s="3488"/>
      <c r="O124" s="3490"/>
      <c r="Z124" s="1631" t="s">
        <v>4361</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88"/>
      <c r="O125" s="3490"/>
      <c r="Z125" s="1631" t="s">
        <v>4361</v>
      </c>
      <c r="AA125" s="1633">
        <v>125</v>
      </c>
    </row>
    <row r="126" spans="1:27" ht="13.35" customHeight="1">
      <c r="A126" s="17" t="s">
        <v>1095</v>
      </c>
      <c r="B126" s="18">
        <f>SUM(B119:B125)</f>
        <v>78222.880219016573</v>
      </c>
      <c r="C126" s="18">
        <f>SUM(C119:C125)</f>
        <v>75678.565058508364</v>
      </c>
      <c r="D126" s="18">
        <f>SUM(D119:D125)</f>
        <v>72803.605716161605</v>
      </c>
      <c r="E126" s="18">
        <f>SUM(E119:E125)</f>
        <v>69582.823971979204</v>
      </c>
      <c r="F126" s="19">
        <f>SUM(F119:F125)</f>
        <v>66002.574681475817</v>
      </c>
      <c r="G126" s="13"/>
      <c r="H126" s="13"/>
      <c r="I126" s="13"/>
      <c r="J126" s="13"/>
      <c r="K126" s="13"/>
      <c r="N126" s="3488"/>
      <c r="O126" s="3490"/>
      <c r="Z126" s="1631" t="s">
        <v>4361</v>
      </c>
      <c r="AA126" s="1633">
        <v>126</v>
      </c>
    </row>
    <row r="127" spans="1:27" ht="13.35" customHeight="1">
      <c r="A127" s="17" t="str">
        <f>$A97</f>
        <v>DCR Mortgage A</v>
      </c>
      <c r="B127" s="20">
        <f>IF(B120=0,"",-B119/B120)</f>
        <v>1.3392289883292887</v>
      </c>
      <c r="C127" s="20">
        <f>IF(C120=0,"",-C119/C120)</f>
        <v>1.3291604342199903</v>
      </c>
      <c r="D127" s="20">
        <f>IF(D120=0,"",-D119/D120)</f>
        <v>1.3177834302427516</v>
      </c>
      <c r="E127" s="20">
        <f>IF(E120=0,"",-E119/E120)</f>
        <v>1.3050379120110149</v>
      </c>
      <c r="F127" s="21">
        <f>IF(F120=0,"",-F119/F120)</f>
        <v>1.2908698819392175</v>
      </c>
      <c r="G127" s="13"/>
      <c r="H127" s="13"/>
      <c r="I127" s="13"/>
      <c r="J127" s="13"/>
      <c r="K127" s="13"/>
      <c r="N127" s="3488"/>
      <c r="O127" s="3490"/>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8"/>
      <c r="O128" s="3490"/>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8"/>
      <c r="O129" s="3490"/>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8"/>
      <c r="O130" s="3490"/>
      <c r="Z130" s="1631" t="s">
        <v>4361</v>
      </c>
      <c r="AA130" s="1633">
        <v>130</v>
      </c>
    </row>
    <row r="131" spans="1:27" ht="13.35" customHeight="1">
      <c r="A131" s="340" t="s">
        <v>3129</v>
      </c>
      <c r="B131" s="20">
        <f>IF(AND(B120=0,B121=0,B122=0,B123=0),"",-B119/(B120+B121+B122+B123))</f>
        <v>1.3392289883292887</v>
      </c>
      <c r="C131" s="20">
        <f>IF(AND(C120=0,C121=0,C122=0,C123=0),"",-C119/(C120+C121+C122+C123))</f>
        <v>1.3291604342199903</v>
      </c>
      <c r="D131" s="20">
        <f>IF(AND(D120=0,D121=0,D122=0,D123=0),"",-D119/(D120+D121+D122+D123))</f>
        <v>1.3177834302427516</v>
      </c>
      <c r="E131" s="20">
        <f>IF(AND(E120=0,E121=0,E122=0,E123=0),"",-E119/(E120+E121+E122+E123))</f>
        <v>1.3050379120110149</v>
      </c>
      <c r="F131" s="21">
        <f>IF(AND(F120=0,F121=0,F122=0,F123=0),"",-F119/(F120+F121+F122+F123))</f>
        <v>1.2908698819392175</v>
      </c>
      <c r="G131" s="13"/>
      <c r="H131" s="13"/>
      <c r="I131" s="13"/>
      <c r="J131" s="13"/>
      <c r="K131" s="13"/>
      <c r="N131" s="3488"/>
      <c r="O131" s="3490"/>
      <c r="Z131" s="1631" t="s">
        <v>4361</v>
      </c>
      <c r="AA131" s="1633">
        <v>131</v>
      </c>
    </row>
    <row r="132" spans="1:27" ht="13.35" customHeight="1">
      <c r="A132" s="17" t="s">
        <v>717</v>
      </c>
      <c r="B132" s="220">
        <f>IF(OR(B116="Choose mgt fee",B116="Choose One!"),"",(B109+B110+B111+B112+B113) / -(B115+B116+B117))</f>
        <v>1.3633860838963459</v>
      </c>
      <c r="C132" s="220">
        <f>IF(OR(C116="Choose mgt fee",C116="Choose One!"),"",(C109+C110+C111+C112+C113) / -(C115+C116+C117))</f>
        <v>1.3501496917552749</v>
      </c>
      <c r="D132" s="220">
        <f>IF(OR(D116="Choose mgt fee",D116="Choose One!"),"",(D109+D110+D111+D112+D113) / -(D115+D116+D117))</f>
        <v>1.3370412934625364</v>
      </c>
      <c r="E132" s="220">
        <f>IF(OR(E116="Choose mgt fee",E116="Choose One!"),"",(E109+E110+E111+E112+E113) / -(E115+E116+E117))</f>
        <v>1.3240594513150303</v>
      </c>
      <c r="F132" s="497">
        <f>IF(OR(F116="Choose mgt fee",F116="Choose One!"),"",(F109+F110+F111+F112+F113) / -(F115+F116+F117))</f>
        <v>1.3112053808332436</v>
      </c>
      <c r="G132" s="13"/>
      <c r="H132" s="13"/>
      <c r="I132" s="13"/>
      <c r="J132" s="13"/>
      <c r="K132" s="13"/>
      <c r="N132" s="3488"/>
      <c r="O132" s="3490"/>
      <c r="Z132" s="1631" t="s">
        <v>4361</v>
      </c>
      <c r="AA132" s="1633">
        <v>132</v>
      </c>
    </row>
    <row r="133" spans="1:27" ht="13.35" customHeight="1">
      <c r="A133" s="340" t="s">
        <v>2399</v>
      </c>
      <c r="B133" s="177">
        <f>IF('Part II-Sources of Funds'!$I$40="","",-FV('Part II-Sources of Funds'!$K$40/12,12,B120/12,K103))</f>
        <v>1650202.6942801692</v>
      </c>
      <c r="C133" s="177">
        <f>IF('Part II-Sources of Funds'!$I$40="","",-FV('Part II-Sources of Funds'!$K$40/12,12,C120/12,B133))</f>
        <v>1516742.9850300958</v>
      </c>
      <c r="D133" s="177">
        <f>IF('Part II-Sources of Funds'!$I$40="","",-FV('Part II-Sources of Funds'!$K$40/12,12,D120/12,C133))</f>
        <v>1372922.4517083687</v>
      </c>
      <c r="E133" s="177">
        <f>IF('Part II-Sources of Funds'!$I$40="","",-FV('Part II-Sources of Funds'!$K$40/12,12,E120/12,D133))</f>
        <v>1217936.7566160157</v>
      </c>
      <c r="F133" s="177">
        <f>IF('Part II-Sources of Funds'!$I$40="","",-FV('Part II-Sources of Funds'!$K$40/12,12,F120/12,E133))</f>
        <v>1050919.1192281349</v>
      </c>
      <c r="G133" s="13"/>
      <c r="H133" s="13"/>
      <c r="I133" s="13"/>
      <c r="J133" s="13"/>
      <c r="K133" s="13"/>
      <c r="N133" s="3488"/>
      <c r="O133" s="3490"/>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8"/>
      <c r="O134" s="3490"/>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8"/>
      <c r="O135" s="3490"/>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3002</v>
      </c>
      <c r="B140" s="3568"/>
      <c r="C140" s="3568"/>
      <c r="D140" s="3568"/>
      <c r="E140" s="3568"/>
      <c r="F140" s="3569"/>
      <c r="G140" s="3570"/>
      <c r="H140" s="3571"/>
      <c r="I140" s="3571"/>
      <c r="J140" s="3571"/>
      <c r="K140" s="3572"/>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68"/>
  <sheetViews>
    <sheetView showGridLines="0" topLeftCell="A188" zoomScale="80" zoomScaleNormal="80" workbookViewId="0">
      <selection activeCell="A220" sqref="A220:Q220"/>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Pateville Estates, Cordele, Crisp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4653</v>
      </c>
      <c r="Q3" s="3743" t="s">
        <v>4426</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4654</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731"/>
      <c r="Q31" s="3732"/>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33" customHeight="1">
      <c r="A33" s="3583" t="s">
        <v>5188</v>
      </c>
      <c r="B33" s="3583"/>
      <c r="C33" s="3583"/>
      <c r="D33" s="3583"/>
      <c r="E33" s="3583"/>
      <c r="F33" s="3583"/>
      <c r="G33" s="3583"/>
      <c r="H33" s="3583"/>
      <c r="I33" s="3583"/>
      <c r="J33" s="3583"/>
      <c r="K33" s="3583"/>
      <c r="L33" s="3583"/>
      <c r="M33" s="3583"/>
      <c r="N33" s="3583"/>
      <c r="O33" s="3583"/>
      <c r="P33" s="3583"/>
      <c r="Q33" s="365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9"/>
      <c r="B35" s="3669"/>
      <c r="C35" s="3669"/>
      <c r="D35" s="3669"/>
      <c r="E35" s="3669"/>
      <c r="F35" s="3669"/>
      <c r="G35" s="3669"/>
      <c r="H35" s="3669"/>
      <c r="I35" s="3669"/>
      <c r="J35" s="3669"/>
      <c r="K35" s="3669"/>
      <c r="L35" s="3669"/>
      <c r="M35" s="3669"/>
      <c r="N35" s="3669"/>
      <c r="O35" s="3669"/>
      <c r="P35" s="3669"/>
      <c r="Q35" s="3669"/>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9"/>
      <c r="Q38" s="3638"/>
      <c r="AA38" s="2492">
        <v>38</v>
      </c>
    </row>
    <row r="39" spans="1:27" ht="18.75" customHeight="1">
      <c r="A39" s="1941"/>
      <c r="B39" s="3724" t="s">
        <v>4657</v>
      </c>
      <c r="C39" s="3724"/>
      <c r="D39" s="3724"/>
      <c r="E39" s="3724"/>
      <c r="F39" s="3724"/>
      <c r="G39" s="3724"/>
      <c r="H39" s="3724"/>
      <c r="I39" s="3724"/>
      <c r="J39" s="3724"/>
      <c r="K39" s="3724"/>
      <c r="L39" s="3724"/>
      <c r="M39" s="3724"/>
      <c r="N39" s="3724"/>
      <c r="O39" s="3724"/>
      <c r="P39" s="3600" t="s">
        <v>2641</v>
      </c>
      <c r="Q39" s="3601"/>
      <c r="AA39" s="2492">
        <v>39</v>
      </c>
    </row>
    <row r="40" spans="1:27" ht="15" customHeight="1">
      <c r="B40" s="1944" t="s">
        <v>3155</v>
      </c>
      <c r="D40" s="1944"/>
      <c r="E40" s="1944"/>
      <c r="F40" s="1944"/>
      <c r="G40" s="1944"/>
      <c r="H40" s="1942"/>
      <c r="I40" s="1935"/>
      <c r="J40" s="1935"/>
      <c r="AA40" s="2492">
        <v>40</v>
      </c>
    </row>
    <row r="41" spans="1:27" ht="20.25" customHeight="1">
      <c r="A41" s="3627" t="s">
        <v>5189</v>
      </c>
      <c r="B41" s="3628"/>
      <c r="C41" s="3628"/>
      <c r="D41" s="3628"/>
      <c r="E41" s="3628"/>
      <c r="F41" s="3628"/>
      <c r="G41" s="3628"/>
      <c r="H41" s="3628"/>
      <c r="I41" s="3628"/>
      <c r="J41" s="3628"/>
      <c r="K41" s="3628"/>
      <c r="L41" s="3628"/>
      <c r="M41" s="3628"/>
      <c r="N41" s="3628"/>
      <c r="O41" s="3628"/>
      <c r="P41" s="3628"/>
      <c r="Q41" s="3629"/>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9"/>
      <c r="B43" s="3669"/>
      <c r="C43" s="3669"/>
      <c r="D43" s="3669"/>
      <c r="E43" s="3669"/>
      <c r="F43" s="3669"/>
      <c r="G43" s="3669"/>
      <c r="H43" s="3669"/>
      <c r="I43" s="3669"/>
      <c r="J43" s="3669"/>
      <c r="K43" s="3669"/>
      <c r="L43" s="3669"/>
      <c r="M43" s="3669"/>
      <c r="N43" s="3669"/>
      <c r="O43" s="3669"/>
      <c r="P43" s="3669"/>
      <c r="Q43" s="3669"/>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589"/>
      <c r="Q46" s="3597"/>
      <c r="AA46" s="2492">
        <v>46</v>
      </c>
    </row>
    <row r="47" spans="1:27" ht="20.25" customHeight="1">
      <c r="A47" s="1947"/>
      <c r="B47" s="1942" t="s">
        <v>5017</v>
      </c>
      <c r="C47" s="1941"/>
      <c r="D47" s="1940"/>
      <c r="E47" s="1940"/>
      <c r="F47" s="1940"/>
      <c r="G47" s="1940"/>
      <c r="H47" s="1940"/>
      <c r="I47" s="1940"/>
      <c r="J47" s="1940"/>
      <c r="L47" s="1945"/>
      <c r="M47" s="1946"/>
      <c r="O47" s="1936"/>
      <c r="P47" s="3600" t="s">
        <v>2641</v>
      </c>
      <c r="Q47" s="3601"/>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46.15" customHeight="1">
      <c r="A49" s="3583" t="s">
        <v>5190</v>
      </c>
      <c r="B49" s="3583"/>
      <c r="C49" s="3583"/>
      <c r="D49" s="3583"/>
      <c r="E49" s="3583"/>
      <c r="F49" s="3583"/>
      <c r="G49" s="3583"/>
      <c r="H49" s="3583"/>
      <c r="I49" s="3583"/>
      <c r="J49" s="3583"/>
      <c r="K49" s="3586"/>
      <c r="L49" s="3586"/>
      <c r="M49" s="3586"/>
      <c r="N49" s="3586"/>
      <c r="O49" s="3586"/>
      <c r="P49" s="3586"/>
      <c r="Q49" s="3639"/>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589"/>
      <c r="Q52" s="3597"/>
      <c r="AA52" s="2492">
        <v>52</v>
      </c>
    </row>
    <row r="53" spans="1:27" ht="27.95" customHeight="1">
      <c r="A53" s="1947"/>
      <c r="B53" s="3591" t="s">
        <v>2258</v>
      </c>
      <c r="C53" s="3591"/>
      <c r="D53" s="3591"/>
      <c r="E53" s="3591"/>
      <c r="F53" s="3591"/>
      <c r="G53" s="3591"/>
      <c r="H53" s="3592"/>
      <c r="I53" s="3648" t="s">
        <v>5144</v>
      </c>
      <c r="J53" s="3649"/>
      <c r="K53" s="3649"/>
      <c r="L53" s="3649"/>
      <c r="M53" s="3649"/>
      <c r="N53" s="3649"/>
      <c r="O53" s="3649"/>
      <c r="P53" s="3649"/>
      <c r="Q53" s="3650"/>
      <c r="AA53" s="2492">
        <v>53</v>
      </c>
    </row>
    <row r="54" spans="1:27" ht="15.95" customHeight="1">
      <c r="A54" s="1947"/>
      <c r="B54" s="1934" t="s">
        <v>4658</v>
      </c>
      <c r="D54" s="1950"/>
      <c r="E54" s="1950"/>
      <c r="F54" s="1950"/>
      <c r="I54" s="3721">
        <v>0.97199999999999998</v>
      </c>
      <c r="J54" s="3722"/>
      <c r="K54" s="3723"/>
      <c r="L54" s="1943"/>
      <c r="M54" s="1951"/>
      <c r="N54" s="1951"/>
      <c r="O54" s="1951"/>
      <c r="P54" s="1951"/>
      <c r="Q54" s="1932"/>
      <c r="AA54" s="2493">
        <v>54</v>
      </c>
    </row>
    <row r="55" spans="1:27" ht="15.95" customHeight="1">
      <c r="A55" s="1947"/>
      <c r="B55" s="1934" t="s">
        <v>4659</v>
      </c>
      <c r="D55" s="1950"/>
      <c r="E55" s="1950"/>
      <c r="F55" s="1950"/>
      <c r="H55" s="1943" t="s">
        <v>4660</v>
      </c>
      <c r="I55" s="3721">
        <v>0.34799999999999998</v>
      </c>
      <c r="J55" s="3722"/>
      <c r="K55" s="3723"/>
      <c r="L55" s="1952"/>
      <c r="M55" s="1953" t="s">
        <v>4661</v>
      </c>
      <c r="N55" s="3711" t="s">
        <v>905</v>
      </c>
      <c r="O55" s="3723"/>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8.5" customHeight="1">
      <c r="A57" s="3583" t="s">
        <v>5215</v>
      </c>
      <c r="B57" s="3583"/>
      <c r="C57" s="3583"/>
      <c r="D57" s="3583"/>
      <c r="E57" s="3583"/>
      <c r="F57" s="3583"/>
      <c r="G57" s="3583"/>
      <c r="H57" s="3583"/>
      <c r="I57" s="3583"/>
      <c r="J57" s="3583"/>
      <c r="K57" s="3583"/>
      <c r="L57" s="3583"/>
      <c r="M57" s="3583"/>
      <c r="N57" s="3583"/>
      <c r="O57" s="3583"/>
      <c r="P57" s="3583"/>
      <c r="Q57" s="365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6"/>
      <c r="B59" s="3586"/>
      <c r="C59" s="3586"/>
      <c r="D59" s="3586"/>
      <c r="E59" s="3586"/>
      <c r="F59" s="3586"/>
      <c r="G59" s="3586"/>
      <c r="H59" s="3586"/>
      <c r="I59" s="3586"/>
      <c r="J59" s="3586"/>
      <c r="K59" s="3586"/>
      <c r="L59" s="3586"/>
      <c r="M59" s="3586"/>
      <c r="N59" s="3586"/>
      <c r="O59" s="3586"/>
      <c r="P59" s="3586"/>
      <c r="Q59" s="3639"/>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40"/>
      <c r="Q62" s="3670"/>
      <c r="AA62" s="2492">
        <v>62</v>
      </c>
    </row>
    <row r="63" spans="1:27" ht="15.95" customHeight="1">
      <c r="A63" s="1947"/>
      <c r="B63" s="1934" t="s">
        <v>4662</v>
      </c>
      <c r="I63" s="1956"/>
      <c r="J63" s="3711"/>
      <c r="K63" s="3711"/>
      <c r="L63" s="3711"/>
      <c r="M63" s="3711"/>
      <c r="N63" s="3711"/>
      <c r="O63" s="3711"/>
      <c r="P63" s="3711"/>
      <c r="Q63" s="3712"/>
      <c r="AA63" s="2493">
        <v>63</v>
      </c>
    </row>
    <row r="64" spans="1:27" ht="15.95" customHeight="1">
      <c r="A64" s="1947"/>
      <c r="B64" s="1934" t="s">
        <v>3823</v>
      </c>
      <c r="O64" s="1943"/>
      <c r="P64" s="1962" t="s">
        <v>2644</v>
      </c>
      <c r="Q64" s="1955"/>
      <c r="AA64" s="2492">
        <v>64</v>
      </c>
    </row>
    <row r="65" spans="1:28" ht="31.5" customHeight="1">
      <c r="B65" s="1941"/>
      <c r="C65" s="3591" t="s">
        <v>4796</v>
      </c>
      <c r="D65" s="3591"/>
      <c r="E65" s="3591"/>
      <c r="F65" s="3591"/>
      <c r="G65" s="3591"/>
      <c r="H65" s="3591"/>
      <c r="I65" s="3591"/>
      <c r="J65" s="3591"/>
      <c r="K65" s="3591"/>
      <c r="L65" s="3591"/>
      <c r="M65" s="3591"/>
      <c r="N65" s="3591"/>
      <c r="O65" s="3591"/>
      <c r="P65" s="2059" t="s">
        <v>2644</v>
      </c>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9.45" customHeight="1">
      <c r="A67" s="3627" t="s">
        <v>5213</v>
      </c>
      <c r="B67" s="3634"/>
      <c r="C67" s="3634"/>
      <c r="D67" s="3634"/>
      <c r="E67" s="3634"/>
      <c r="F67" s="3634"/>
      <c r="G67" s="3634"/>
      <c r="H67" s="3634"/>
      <c r="I67" s="3634"/>
      <c r="J67" s="3634"/>
      <c r="K67" s="3634"/>
      <c r="L67" s="3634"/>
      <c r="M67" s="3634"/>
      <c r="N67" s="3634"/>
      <c r="O67" s="3634"/>
      <c r="P67" s="3634"/>
      <c r="Q67" s="3635"/>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5"/>
      <c r="B69" s="3636"/>
      <c r="C69" s="3636"/>
      <c r="D69" s="3636"/>
      <c r="E69" s="3636"/>
      <c r="F69" s="3636"/>
      <c r="G69" s="3636"/>
      <c r="H69" s="3636"/>
      <c r="I69" s="3636"/>
      <c r="J69" s="3636"/>
      <c r="K69" s="3636"/>
      <c r="L69" s="3636"/>
      <c r="M69" s="3636"/>
      <c r="N69" s="3636"/>
      <c r="O69" s="3636"/>
      <c r="P69" s="3636"/>
      <c r="Q69" s="3637"/>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9"/>
      <c r="Q72" s="3597"/>
      <c r="AA72" s="2493">
        <v>72</v>
      </c>
    </row>
    <row r="73" spans="1:28" ht="32.25" customHeight="1">
      <c r="A73" s="1947"/>
      <c r="B73" s="3591" t="s">
        <v>5001</v>
      </c>
      <c r="C73" s="3591"/>
      <c r="D73" s="3591"/>
      <c r="E73" s="3591"/>
      <c r="F73" s="3591"/>
      <c r="G73" s="3591"/>
      <c r="H73" s="3591"/>
      <c r="I73" s="3591"/>
      <c r="J73" s="3591"/>
      <c r="K73" s="3592"/>
      <c r="L73" s="3717" t="s">
        <v>5164</v>
      </c>
      <c r="M73" s="3718"/>
      <c r="N73" s="3718"/>
      <c r="O73" s="3718"/>
      <c r="P73" s="3719"/>
      <c r="Q73" s="3720"/>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2644</v>
      </c>
      <c r="Q77" s="1955"/>
      <c r="AA77" s="2492">
        <v>77</v>
      </c>
    </row>
    <row r="78" spans="1:28" ht="16.5" customHeight="1">
      <c r="A78" s="1947"/>
      <c r="B78" s="1941"/>
      <c r="C78" s="1934" t="s">
        <v>4666</v>
      </c>
      <c r="E78" s="1950"/>
      <c r="F78" s="1950"/>
      <c r="G78" s="1950"/>
      <c r="K78" s="1950"/>
      <c r="L78" s="1940"/>
      <c r="M78" s="1940"/>
      <c r="O78" s="1943"/>
      <c r="P78" s="1957" t="s">
        <v>2644</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2644</v>
      </c>
      <c r="Q80" s="1960"/>
      <c r="AA80" s="2492">
        <v>80</v>
      </c>
    </row>
    <row r="81" spans="1:27" ht="32.25" customHeight="1">
      <c r="A81" s="1947"/>
      <c r="B81" s="3713" t="s">
        <v>4822</v>
      </c>
      <c r="C81" s="3713"/>
      <c r="D81" s="3713"/>
      <c r="E81" s="3713"/>
      <c r="F81" s="3713"/>
      <c r="G81" s="3713"/>
      <c r="H81" s="3713"/>
      <c r="I81" s="3713"/>
      <c r="J81" s="3713"/>
      <c r="K81" s="3713"/>
      <c r="L81" s="3713"/>
      <c r="M81" s="3713"/>
      <c r="N81" s="3713"/>
      <c r="O81" s="3713"/>
      <c r="P81" s="3713"/>
      <c r="Q81" s="3713"/>
      <c r="AA81" s="2493">
        <v>81</v>
      </c>
    </row>
    <row r="82" spans="1:27" ht="20.25" customHeight="1">
      <c r="B82" s="3711"/>
      <c r="C82" s="3711"/>
      <c r="D82" s="3711"/>
      <c r="E82" s="3711"/>
      <c r="F82" s="3711"/>
      <c r="G82" s="3711"/>
      <c r="H82" s="3711"/>
      <c r="I82" s="3711"/>
      <c r="J82" s="3711"/>
      <c r="K82" s="3711"/>
      <c r="L82" s="3711"/>
      <c r="M82" s="3711"/>
      <c r="N82" s="3711"/>
      <c r="O82" s="3711"/>
      <c r="P82" s="3711"/>
      <c r="Q82" s="3712"/>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583"/>
      <c r="B84" s="3583"/>
      <c r="C84" s="3583"/>
      <c r="D84" s="3583"/>
      <c r="E84" s="3583"/>
      <c r="F84" s="3583"/>
      <c r="G84" s="3583"/>
      <c r="H84" s="3583"/>
      <c r="I84" s="3583"/>
      <c r="J84" s="3583"/>
      <c r="K84" s="3583"/>
      <c r="L84" s="3583"/>
      <c r="M84" s="3583"/>
      <c r="N84" s="3583"/>
      <c r="O84" s="3583"/>
      <c r="P84" s="3583"/>
      <c r="Q84" s="365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6"/>
      <c r="B86" s="3586"/>
      <c r="C86" s="3586"/>
      <c r="D86" s="3586"/>
      <c r="E86" s="3586"/>
      <c r="F86" s="3586"/>
      <c r="G86" s="3586"/>
      <c r="H86" s="3586"/>
      <c r="I86" s="3586"/>
      <c r="J86" s="3586"/>
      <c r="K86" s="3586"/>
      <c r="L86" s="3586"/>
      <c r="M86" s="3586"/>
      <c r="N86" s="3586"/>
      <c r="O86" s="3586"/>
      <c r="P86" s="3586"/>
      <c r="Q86" s="3639"/>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9"/>
      <c r="Q89" s="3597"/>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4" t="s">
        <v>5165</v>
      </c>
      <c r="M90" s="3715"/>
      <c r="N90" s="3716"/>
      <c r="O90" s="3589" t="s">
        <v>1641</v>
      </c>
      <c r="P90" s="3633"/>
      <c r="Q90" s="3590"/>
      <c r="AA90" s="2493">
        <v>90</v>
      </c>
    </row>
    <row r="91" spans="1:27" ht="14.1" customHeight="1">
      <c r="A91" s="1947"/>
      <c r="B91" s="1934" t="s">
        <v>635</v>
      </c>
      <c r="G91" s="3711" t="s">
        <v>5166</v>
      </c>
      <c r="H91" s="3711"/>
      <c r="I91" s="3711"/>
      <c r="J91" s="3711"/>
      <c r="K91" s="3711"/>
      <c r="L91" s="3711"/>
      <c r="M91" s="3711"/>
      <c r="N91" s="3711"/>
      <c r="O91" s="3711"/>
      <c r="P91" s="3711"/>
      <c r="Q91" s="3712"/>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33.6" customHeight="1">
      <c r="A93" s="3583" t="s">
        <v>5191</v>
      </c>
      <c r="B93" s="3583"/>
      <c r="C93" s="3583"/>
      <c r="D93" s="3583"/>
      <c r="E93" s="3583"/>
      <c r="F93" s="3583"/>
      <c r="G93" s="3583"/>
      <c r="H93" s="3583"/>
      <c r="I93" s="3583"/>
      <c r="J93" s="3583"/>
      <c r="K93" s="3583"/>
      <c r="L93" s="3583"/>
      <c r="M93" s="3583"/>
      <c r="N93" s="3583"/>
      <c r="O93" s="3583"/>
      <c r="P93" s="3583"/>
      <c r="Q93" s="366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6"/>
      <c r="B95" s="3586"/>
      <c r="C95" s="3586"/>
      <c r="D95" s="3586"/>
      <c r="E95" s="3586"/>
      <c r="F95" s="3586"/>
      <c r="G95" s="3586"/>
      <c r="H95" s="3586"/>
      <c r="I95" s="3586"/>
      <c r="J95" s="3586"/>
      <c r="K95" s="3586"/>
      <c r="L95" s="3586"/>
      <c r="M95" s="3586"/>
      <c r="N95" s="3586"/>
      <c r="O95" s="3586"/>
      <c r="P95" s="3586"/>
      <c r="Q95" s="3669"/>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9"/>
      <c r="Q98" s="3597"/>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583" t="s">
        <v>5192</v>
      </c>
      <c r="B100" s="3583"/>
      <c r="C100" s="3583"/>
      <c r="D100" s="3583"/>
      <c r="E100" s="3583"/>
      <c r="F100" s="3583"/>
      <c r="G100" s="3583"/>
      <c r="H100" s="3583"/>
      <c r="I100" s="3583"/>
      <c r="J100" s="3583"/>
      <c r="K100" s="3583"/>
      <c r="L100" s="3583"/>
      <c r="M100" s="3583"/>
      <c r="N100" s="3583"/>
      <c r="O100" s="3583"/>
      <c r="P100" s="3583"/>
      <c r="Q100" s="366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6"/>
      <c r="B102" s="3586"/>
      <c r="C102" s="3586"/>
      <c r="D102" s="3586"/>
      <c r="E102" s="3586"/>
      <c r="F102" s="3586"/>
      <c r="G102" s="3586"/>
      <c r="H102" s="3586"/>
      <c r="I102" s="3586"/>
      <c r="J102" s="3586"/>
      <c r="K102" s="3586"/>
      <c r="L102" s="3586"/>
      <c r="M102" s="3586"/>
      <c r="N102" s="3586"/>
      <c r="O102" s="3586"/>
      <c r="P102" s="3586"/>
      <c r="Q102" s="3669"/>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10" t="s">
        <v>2420</v>
      </c>
      <c r="C105" s="3710"/>
      <c r="D105" s="3710"/>
      <c r="N105" s="1961"/>
      <c r="O105" s="1936" t="s">
        <v>1726</v>
      </c>
      <c r="P105" s="3589"/>
      <c r="Q105" s="3597"/>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30.6" customHeight="1">
      <c r="A107" s="3583" t="s">
        <v>5193</v>
      </c>
      <c r="B107" s="3583"/>
      <c r="C107" s="3583"/>
      <c r="D107" s="3583"/>
      <c r="E107" s="3583"/>
      <c r="F107" s="3583"/>
      <c r="G107" s="3583"/>
      <c r="H107" s="3583"/>
      <c r="I107" s="3583"/>
      <c r="J107" s="3583"/>
      <c r="K107" s="3583"/>
      <c r="L107" s="3583"/>
      <c r="M107" s="3583"/>
      <c r="N107" s="3583"/>
      <c r="O107" s="3583"/>
      <c r="P107" s="3583"/>
      <c r="Q107" s="366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6"/>
      <c r="B109" s="3586"/>
      <c r="C109" s="3586"/>
      <c r="D109" s="3586"/>
      <c r="E109" s="3586"/>
      <c r="F109" s="3586"/>
      <c r="G109" s="3586"/>
      <c r="H109" s="3586"/>
      <c r="I109" s="3586"/>
      <c r="J109" s="3586"/>
      <c r="K109" s="3586"/>
      <c r="L109" s="3586"/>
      <c r="M109" s="3586"/>
      <c r="N109" s="3586"/>
      <c r="O109" s="3586"/>
      <c r="P109" s="3586"/>
      <c r="Q109" s="3669"/>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40"/>
      <c r="Q112" s="3670"/>
      <c r="AA112" s="2492">
        <v>112</v>
      </c>
    </row>
    <row r="113" spans="1:27" ht="14.1" customHeight="1">
      <c r="A113" s="1947"/>
      <c r="B113" s="1934" t="s">
        <v>4669</v>
      </c>
      <c r="H113" s="1934" t="s">
        <v>4670</v>
      </c>
      <c r="J113" s="3707"/>
      <c r="K113" s="3708"/>
      <c r="L113" s="3708"/>
      <c r="M113" s="3708"/>
      <c r="N113" s="3708"/>
      <c r="O113" s="3708"/>
      <c r="P113" s="3708"/>
      <c r="Q113" s="3709"/>
      <c r="AA113" s="2492">
        <v>113</v>
      </c>
    </row>
    <row r="114" spans="1:27" ht="14.1" customHeight="1">
      <c r="A114" s="1947"/>
      <c r="B114" s="1947"/>
      <c r="H114" s="1934" t="s">
        <v>4671</v>
      </c>
      <c r="J114" s="3695" t="s">
        <v>5167</v>
      </c>
      <c r="K114" s="3696"/>
      <c r="L114" s="3696"/>
      <c r="M114" s="3696"/>
      <c r="N114" s="3696"/>
      <c r="O114" s="3696"/>
      <c r="P114" s="3696"/>
      <c r="Q114" s="3697"/>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3" t="s">
        <v>5194</v>
      </c>
      <c r="B116" s="3583"/>
      <c r="C116" s="3583"/>
      <c r="D116" s="3583"/>
      <c r="E116" s="3583"/>
      <c r="F116" s="3583"/>
      <c r="G116" s="3583"/>
      <c r="H116" s="3583"/>
      <c r="I116" s="3583"/>
      <c r="J116" s="3583"/>
      <c r="K116" s="3583"/>
      <c r="L116" s="3583"/>
      <c r="M116" s="3583"/>
      <c r="N116" s="3583"/>
      <c r="O116" s="3583"/>
      <c r="P116" s="3583"/>
      <c r="Q116" s="366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6"/>
      <c r="B118" s="3586"/>
      <c r="C118" s="3586"/>
      <c r="D118" s="3586"/>
      <c r="E118" s="3586"/>
      <c r="F118" s="3586"/>
      <c r="G118" s="3586"/>
      <c r="H118" s="3586"/>
      <c r="I118" s="3586"/>
      <c r="J118" s="3586"/>
      <c r="K118" s="3586"/>
      <c r="L118" s="3586"/>
      <c r="M118" s="3586"/>
      <c r="N118" s="3586"/>
      <c r="O118" s="3586"/>
      <c r="P118" s="3586"/>
      <c r="Q118" s="3639"/>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589"/>
      <c r="Q121" s="3597"/>
      <c r="AA121" s="2492">
        <v>121</v>
      </c>
    </row>
    <row r="122" spans="1:27" ht="14.45" customHeight="1">
      <c r="A122" s="1947"/>
      <c r="B122" s="1934" t="s">
        <v>4673</v>
      </c>
      <c r="H122" s="1934" t="s">
        <v>4674</v>
      </c>
      <c r="J122" s="3707" t="s">
        <v>5168</v>
      </c>
      <c r="K122" s="3708"/>
      <c r="L122" s="3708"/>
      <c r="M122" s="3708"/>
      <c r="N122" s="3708"/>
      <c r="O122" s="3708"/>
      <c r="P122" s="3708"/>
      <c r="Q122" s="3709"/>
      <c r="R122" s="1975"/>
      <c r="AA122" s="2492">
        <v>122</v>
      </c>
    </row>
    <row r="123" spans="1:27" ht="14.45" customHeight="1">
      <c r="A123" s="1974"/>
      <c r="B123" s="1947"/>
      <c r="H123" s="1934" t="s">
        <v>4675</v>
      </c>
      <c r="J123" s="3695" t="s">
        <v>5168</v>
      </c>
      <c r="K123" s="3696"/>
      <c r="L123" s="3696"/>
      <c r="M123" s="3696"/>
      <c r="N123" s="3696"/>
      <c r="O123" s="3696"/>
      <c r="P123" s="3696"/>
      <c r="Q123" s="3697"/>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583" t="s">
        <v>5194</v>
      </c>
      <c r="B125" s="3583"/>
      <c r="C125" s="3583"/>
      <c r="D125" s="3583"/>
      <c r="E125" s="3583"/>
      <c r="F125" s="3583"/>
      <c r="G125" s="3583"/>
      <c r="H125" s="3583"/>
      <c r="I125" s="3583"/>
      <c r="J125" s="3583"/>
      <c r="K125" s="3583"/>
      <c r="L125" s="3583"/>
      <c r="M125" s="3583"/>
      <c r="N125" s="3583"/>
      <c r="O125" s="3583"/>
      <c r="P125" s="3583"/>
      <c r="Q125" s="366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6"/>
      <c r="B127" s="3586"/>
      <c r="C127" s="3586"/>
      <c r="D127" s="3586"/>
      <c r="E127" s="3586"/>
      <c r="F127" s="3586"/>
      <c r="G127" s="3586"/>
      <c r="H127" s="3586"/>
      <c r="I127" s="3586"/>
      <c r="J127" s="3586"/>
      <c r="K127" s="3586"/>
      <c r="L127" s="3586"/>
      <c r="M127" s="3586"/>
      <c r="N127" s="3586"/>
      <c r="O127" s="3586"/>
      <c r="P127" s="3586"/>
      <c r="Q127" s="3639"/>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9"/>
      <c r="Q130" s="3597"/>
      <c r="AA130" s="2492">
        <v>130</v>
      </c>
    </row>
    <row r="131" spans="1:27" ht="27.6" customHeight="1">
      <c r="A131" s="1937"/>
      <c r="B131" s="3591" t="s">
        <v>5002</v>
      </c>
      <c r="C131" s="3591"/>
      <c r="D131" s="3591"/>
      <c r="E131" s="3591"/>
      <c r="F131" s="3591"/>
      <c r="G131" s="3591"/>
      <c r="H131" s="3591"/>
      <c r="I131" s="3591"/>
      <c r="J131" s="3591"/>
      <c r="K131" s="3591"/>
      <c r="L131" s="3591"/>
      <c r="M131" s="3591"/>
      <c r="N131" s="3591"/>
      <c r="O131" s="3592"/>
      <c r="P131" s="3600" t="s">
        <v>2641</v>
      </c>
      <c r="Q131" s="3601"/>
      <c r="AA131" s="2492">
        <v>131</v>
      </c>
    </row>
    <row r="132" spans="1:27" ht="20.25" customHeight="1">
      <c r="A132" s="1947" t="s">
        <v>1836</v>
      </c>
      <c r="B132" s="1934" t="s">
        <v>4676</v>
      </c>
      <c r="O132" s="1943"/>
      <c r="P132" s="1937"/>
      <c r="Q132" s="1937"/>
      <c r="AA132" s="2492">
        <v>132</v>
      </c>
    </row>
    <row r="133" spans="1:27" ht="14.45" customHeight="1">
      <c r="A133" s="1947"/>
      <c r="B133" s="1942"/>
      <c r="C133" s="1934" t="s">
        <v>1787</v>
      </c>
      <c r="J133" s="1943"/>
      <c r="K133" s="1937"/>
      <c r="L133" s="1937"/>
      <c r="M133" s="3704" t="s">
        <v>5169</v>
      </c>
      <c r="N133" s="3705"/>
      <c r="O133" s="3705"/>
      <c r="P133" s="3705"/>
      <c r="Q133" s="3706"/>
      <c r="AA133" s="2492">
        <v>133</v>
      </c>
    </row>
    <row r="134" spans="1:27" ht="14.45" customHeight="1">
      <c r="A134" s="1947"/>
      <c r="B134" s="1942"/>
      <c r="C134" s="1942" t="s">
        <v>4612</v>
      </c>
      <c r="E134" s="1942"/>
      <c r="F134" s="1942"/>
      <c r="G134" s="1942"/>
      <c r="H134" s="1942"/>
      <c r="J134" s="1943"/>
      <c r="K134" s="1937"/>
      <c r="L134" s="1937"/>
      <c r="M134" s="3688" t="s">
        <v>5170</v>
      </c>
      <c r="N134" s="3689"/>
      <c r="O134" s="3689"/>
      <c r="P134" s="3689"/>
      <c r="Q134" s="3690"/>
      <c r="AA134" s="2492">
        <v>134</v>
      </c>
    </row>
    <row r="135" spans="1:27" ht="14.45" customHeight="1">
      <c r="A135" s="1947"/>
      <c r="B135" s="1942"/>
      <c r="C135" s="3691" t="s">
        <v>4090</v>
      </c>
      <c r="D135" s="3692"/>
      <c r="E135" s="3692"/>
      <c r="F135" s="3692"/>
      <c r="G135" s="3692"/>
      <c r="H135" s="3692"/>
      <c r="I135" s="3692"/>
      <c r="J135" s="3692"/>
      <c r="K135" s="3692"/>
      <c r="L135" s="3692"/>
      <c r="M135" s="3693"/>
      <c r="N135" s="3693"/>
      <c r="O135" s="3693"/>
      <c r="P135" s="3693"/>
      <c r="Q135" s="3694"/>
      <c r="AA135" s="2493">
        <v>135</v>
      </c>
    </row>
    <row r="136" spans="1:27" ht="14.45" customHeight="1">
      <c r="A136" s="1947"/>
      <c r="B136" s="1942"/>
      <c r="C136" s="1942" t="s">
        <v>3662</v>
      </c>
      <c r="E136" s="1942"/>
      <c r="F136" s="1942"/>
      <c r="G136" s="1942"/>
      <c r="H136" s="1942"/>
      <c r="J136" s="1943"/>
      <c r="K136" s="1937"/>
      <c r="L136" s="1937"/>
      <c r="M136" s="3695" t="s">
        <v>5171</v>
      </c>
      <c r="N136" s="3696"/>
      <c r="O136" s="3696"/>
      <c r="P136" s="3696"/>
      <c r="Q136" s="3697"/>
      <c r="AA136" s="2492">
        <v>136</v>
      </c>
    </row>
    <row r="137" spans="1:27" ht="20.25" customHeight="1">
      <c r="A137" s="1947" t="s">
        <v>1838</v>
      </c>
      <c r="B137" s="3591" t="s">
        <v>4677</v>
      </c>
      <c r="C137" s="3591"/>
      <c r="D137" s="3591"/>
      <c r="E137" s="3591"/>
      <c r="F137" s="3591"/>
      <c r="G137" s="3591"/>
      <c r="H137" s="3591"/>
      <c r="I137" s="3591"/>
      <c r="J137" s="3591"/>
      <c r="K137" s="3591"/>
      <c r="L137" s="3591"/>
      <c r="M137" s="3591"/>
      <c r="N137" s="3591"/>
      <c r="O137" s="1943"/>
      <c r="P137" s="1976"/>
      <c r="Q137" s="1932"/>
      <c r="AA137" s="2492">
        <v>137</v>
      </c>
    </row>
    <row r="138" spans="1:27" ht="27.6" customHeight="1">
      <c r="A138" s="1963"/>
      <c r="B138" s="1940"/>
      <c r="C138" s="3591" t="s">
        <v>4678</v>
      </c>
      <c r="D138" s="3591"/>
      <c r="E138" s="3591"/>
      <c r="F138" s="3591"/>
      <c r="G138" s="3591"/>
      <c r="H138" s="3591"/>
      <c r="I138" s="3591"/>
      <c r="J138" s="3591"/>
      <c r="K138" s="3591"/>
      <c r="L138" s="3591"/>
      <c r="M138" s="3591"/>
      <c r="N138" s="3591"/>
      <c r="O138" s="3591"/>
      <c r="P138" s="3591"/>
      <c r="Q138" s="3591"/>
      <c r="AA138" s="2492">
        <v>138</v>
      </c>
    </row>
    <row r="139" spans="1:27" ht="15.75" customHeight="1">
      <c r="A139" s="1932"/>
      <c r="B139" s="1970" t="s">
        <v>1611</v>
      </c>
      <c r="C139" s="3698" t="s">
        <v>1538</v>
      </c>
      <c r="D139" s="3699"/>
      <c r="E139" s="3699"/>
      <c r="F139" s="3699"/>
      <c r="G139" s="3699"/>
      <c r="H139" s="3700"/>
      <c r="I139" s="1937"/>
      <c r="J139" s="3701" t="s">
        <v>4679</v>
      </c>
      <c r="K139" s="3702"/>
      <c r="L139" s="3702"/>
      <c r="M139" s="3702"/>
      <c r="N139" s="3702"/>
      <c r="O139" s="3702"/>
      <c r="P139" s="3702"/>
      <c r="Q139" s="3703"/>
      <c r="AA139" s="2492">
        <v>139</v>
      </c>
    </row>
    <row r="140" spans="1:27" ht="15.75" customHeight="1">
      <c r="A140" s="1932"/>
      <c r="B140" s="1970" t="s">
        <v>1612</v>
      </c>
      <c r="C140" s="3676" t="s">
        <v>3776</v>
      </c>
      <c r="D140" s="3677"/>
      <c r="E140" s="3677"/>
      <c r="F140" s="3677"/>
      <c r="G140" s="3677"/>
      <c r="H140" s="3678"/>
      <c r="I140" s="1937"/>
      <c r="J140" s="3679" t="s">
        <v>4679</v>
      </c>
      <c r="K140" s="3680"/>
      <c r="L140" s="3680"/>
      <c r="M140" s="3680"/>
      <c r="N140" s="3680"/>
      <c r="O140" s="3680"/>
      <c r="P140" s="3680"/>
      <c r="Q140" s="3681"/>
      <c r="AA140" s="2492">
        <v>140</v>
      </c>
    </row>
    <row r="141" spans="1:27" ht="15.75" customHeight="1">
      <c r="A141" s="1932"/>
      <c r="B141" s="1970" t="s">
        <v>1613</v>
      </c>
      <c r="C141" s="3676" t="s">
        <v>3727</v>
      </c>
      <c r="D141" s="3677"/>
      <c r="E141" s="3677"/>
      <c r="F141" s="3677"/>
      <c r="G141" s="3677"/>
      <c r="H141" s="3678"/>
      <c r="I141" s="1937"/>
      <c r="J141" s="3679" t="s">
        <v>4679</v>
      </c>
      <c r="K141" s="3680"/>
      <c r="L141" s="3680"/>
      <c r="M141" s="3680"/>
      <c r="N141" s="3680"/>
      <c r="O141" s="3680"/>
      <c r="P141" s="3680"/>
      <c r="Q141" s="3681"/>
      <c r="AA141" s="2492">
        <v>141</v>
      </c>
    </row>
    <row r="142" spans="1:27" ht="15.75" customHeight="1">
      <c r="A142" s="1932"/>
      <c r="B142" s="1970" t="s">
        <v>2176</v>
      </c>
      <c r="C142" s="3682" t="s">
        <v>949</v>
      </c>
      <c r="D142" s="3683"/>
      <c r="E142" s="3683"/>
      <c r="F142" s="3683"/>
      <c r="G142" s="3683"/>
      <c r="H142" s="3684"/>
      <c r="I142" s="1937"/>
      <c r="J142" s="3685" t="s">
        <v>4679</v>
      </c>
      <c r="K142" s="3686"/>
      <c r="L142" s="3686"/>
      <c r="M142" s="3686"/>
      <c r="N142" s="3686"/>
      <c r="O142" s="3686"/>
      <c r="P142" s="3686"/>
      <c r="Q142" s="3687"/>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30" customHeight="1">
      <c r="A144" s="3583" t="s">
        <v>5195</v>
      </c>
      <c r="B144" s="3583"/>
      <c r="C144" s="3583"/>
      <c r="D144" s="3583"/>
      <c r="E144" s="3583"/>
      <c r="F144" s="3583"/>
      <c r="G144" s="3583"/>
      <c r="H144" s="3583"/>
      <c r="I144" s="3583"/>
      <c r="J144" s="3583"/>
      <c r="K144" s="3583"/>
      <c r="L144" s="3583"/>
      <c r="M144" s="3583"/>
      <c r="N144" s="3583"/>
      <c r="O144" s="3583"/>
      <c r="P144" s="3583"/>
      <c r="Q144" s="366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6"/>
      <c r="B146" s="3586"/>
      <c r="C146" s="3586"/>
      <c r="D146" s="3586"/>
      <c r="E146" s="3586"/>
      <c r="F146" s="3586"/>
      <c r="G146" s="3586"/>
      <c r="H146" s="3586"/>
      <c r="I146" s="3586"/>
      <c r="J146" s="3586"/>
      <c r="K146" s="3586"/>
      <c r="L146" s="3586"/>
      <c r="M146" s="3586"/>
      <c r="N146" s="3586"/>
      <c r="O146" s="3586"/>
      <c r="P146" s="3586"/>
      <c r="Q146" s="3669"/>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40"/>
      <c r="Q149" s="3670"/>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03" t="s">
        <v>2644</v>
      </c>
      <c r="Q150" s="3604"/>
      <c r="AA150" s="2492">
        <v>150</v>
      </c>
    </row>
    <row r="151" spans="1:27" ht="20.25" customHeight="1">
      <c r="A151" s="1947"/>
      <c r="B151" s="1934" t="s">
        <v>1190</v>
      </c>
      <c r="G151" s="1937"/>
      <c r="H151" s="3651" t="s">
        <v>5172</v>
      </c>
      <c r="I151" s="3671"/>
      <c r="J151" s="3671"/>
      <c r="K151" s="3671"/>
      <c r="L151" s="3671"/>
      <c r="M151" s="3671"/>
      <c r="N151" s="3671"/>
      <c r="O151" s="3671"/>
      <c r="P151" s="3672"/>
      <c r="Q151" s="3673"/>
      <c r="R151" s="1956"/>
      <c r="AA151" s="2492">
        <v>151</v>
      </c>
    </row>
    <row r="152" spans="1:27" ht="20.25" customHeight="1">
      <c r="A152" s="1947"/>
      <c r="B152" s="1934" t="s">
        <v>1801</v>
      </c>
      <c r="G152" s="1937"/>
      <c r="H152" s="3653" t="s">
        <v>5173</v>
      </c>
      <c r="I152" s="3674"/>
      <c r="J152" s="3674"/>
      <c r="K152" s="3674"/>
      <c r="L152" s="3674"/>
      <c r="M152" s="3674"/>
      <c r="N152" s="3674"/>
      <c r="O152" s="3674"/>
      <c r="P152" s="3674"/>
      <c r="Q152" s="3675"/>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36" customHeight="1">
      <c r="A154" s="3583" t="s">
        <v>5174</v>
      </c>
      <c r="B154" s="3583"/>
      <c r="C154" s="3583"/>
      <c r="D154" s="3583"/>
      <c r="E154" s="3583"/>
      <c r="F154" s="3583"/>
      <c r="G154" s="3583"/>
      <c r="H154" s="3583"/>
      <c r="I154" s="3583"/>
      <c r="J154" s="3583"/>
      <c r="K154" s="3583"/>
      <c r="L154" s="3583"/>
      <c r="M154" s="3583"/>
      <c r="N154" s="3583"/>
      <c r="O154" s="3583"/>
      <c r="P154" s="3583"/>
      <c r="Q154" s="366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6"/>
      <c r="B156" s="3586"/>
      <c r="C156" s="3586"/>
      <c r="D156" s="3586"/>
      <c r="E156" s="3586"/>
      <c r="F156" s="3586"/>
      <c r="G156" s="3586"/>
      <c r="H156" s="3586"/>
      <c r="I156" s="3586"/>
      <c r="J156" s="3586"/>
      <c r="K156" s="3586"/>
      <c r="L156" s="3586"/>
      <c r="M156" s="3586"/>
      <c r="N156" s="3586"/>
      <c r="O156" s="3586"/>
      <c r="P156" s="3586"/>
      <c r="Q156" s="3669"/>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9"/>
      <c r="Q159" s="3597"/>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583" t="s">
        <v>5175</v>
      </c>
      <c r="B161" s="3583"/>
      <c r="C161" s="3583"/>
      <c r="D161" s="3583"/>
      <c r="E161" s="3583"/>
      <c r="F161" s="3583"/>
      <c r="G161" s="3583"/>
      <c r="H161" s="3583"/>
      <c r="I161" s="3583"/>
      <c r="J161" s="3583"/>
      <c r="K161" s="3583"/>
      <c r="L161" s="3583"/>
      <c r="M161" s="3583"/>
      <c r="N161" s="3583"/>
      <c r="O161" s="3583"/>
      <c r="P161" s="3583"/>
      <c r="Q161" s="366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6"/>
      <c r="B163" s="3586"/>
      <c r="C163" s="3586"/>
      <c r="D163" s="3586"/>
      <c r="E163" s="3586"/>
      <c r="F163" s="3586"/>
      <c r="G163" s="3586"/>
      <c r="H163" s="3586"/>
      <c r="I163" s="3586"/>
      <c r="J163" s="3586"/>
      <c r="K163" s="3586"/>
      <c r="L163" s="3586"/>
      <c r="M163" s="3586"/>
      <c r="N163" s="3586"/>
      <c r="O163" s="3586"/>
      <c r="P163" s="3586"/>
      <c r="Q163" s="3669"/>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9"/>
      <c r="Q166" s="3597"/>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5" customHeight="1">
      <c r="B168" s="3594" t="s">
        <v>5003</v>
      </c>
      <c r="C168" s="3594"/>
      <c r="D168" s="3594"/>
      <c r="E168" s="3594"/>
      <c r="F168" s="3594"/>
      <c r="G168" s="3594"/>
      <c r="H168" s="3594"/>
      <c r="I168" s="3594"/>
      <c r="J168" s="3594"/>
      <c r="K168" s="3594"/>
      <c r="L168" s="3594"/>
      <c r="M168" s="3594"/>
      <c r="N168" s="3594"/>
      <c r="O168" s="3595"/>
      <c r="P168" s="3665" t="s">
        <v>5176</v>
      </c>
      <c r="Q168" s="3666"/>
      <c r="AA168" s="2492">
        <v>168</v>
      </c>
    </row>
    <row r="169" spans="1:27" ht="17.100000000000001" customHeight="1">
      <c r="A169" s="1947" t="s">
        <v>1838</v>
      </c>
      <c r="B169" s="1933" t="s">
        <v>297</v>
      </c>
      <c r="G169" s="1937"/>
      <c r="H169" s="3593" t="s">
        <v>3169</v>
      </c>
      <c r="I169" s="3593"/>
      <c r="J169" s="3593"/>
      <c r="K169" s="3593"/>
      <c r="L169" s="3593"/>
      <c r="M169" s="3593"/>
      <c r="N169" s="3593"/>
      <c r="O169" s="3593"/>
      <c r="P169" s="3667"/>
      <c r="Q169" s="3667"/>
      <c r="AA169" s="2492">
        <v>169</v>
      </c>
    </row>
    <row r="170" spans="1:27" ht="15" customHeight="1">
      <c r="B170" s="1954" t="s">
        <v>3155</v>
      </c>
      <c r="M170" s="1935"/>
      <c r="N170" s="1935"/>
      <c r="O170" s="1979"/>
      <c r="P170" s="1932"/>
      <c r="AA170" s="2492">
        <v>170</v>
      </c>
    </row>
    <row r="171" spans="1:27" ht="17.100000000000001" customHeight="1">
      <c r="A171" s="3583" t="s">
        <v>5196</v>
      </c>
      <c r="B171" s="3583"/>
      <c r="C171" s="3583"/>
      <c r="D171" s="3583"/>
      <c r="E171" s="3583"/>
      <c r="F171" s="3583"/>
      <c r="G171" s="3583"/>
      <c r="H171" s="3583"/>
      <c r="I171" s="3583"/>
      <c r="J171" s="3583"/>
      <c r="K171" s="3583"/>
      <c r="L171" s="3583"/>
      <c r="M171" s="3583"/>
      <c r="N171" s="3583"/>
      <c r="O171" s="3583"/>
      <c r="P171" s="3583"/>
      <c r="Q171" s="366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6"/>
      <c r="B173" s="3586"/>
      <c r="C173" s="3586"/>
      <c r="D173" s="3586"/>
      <c r="E173" s="3586"/>
      <c r="F173" s="3586"/>
      <c r="G173" s="3586"/>
      <c r="H173" s="3586"/>
      <c r="I173" s="3586"/>
      <c r="J173" s="3586"/>
      <c r="K173" s="3586"/>
      <c r="L173" s="3586"/>
      <c r="M173" s="3586"/>
      <c r="N173" s="3586"/>
      <c r="O173" s="3586"/>
      <c r="P173" s="3586"/>
      <c r="Q173" s="3639"/>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40"/>
      <c r="Q176" s="3641"/>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03" t="s">
        <v>2644</v>
      </c>
      <c r="Q177" s="3656"/>
      <c r="AA177" s="2492">
        <v>177</v>
      </c>
    </row>
    <row r="178" spans="1:27" ht="30.6" customHeight="1">
      <c r="A178" s="1937"/>
      <c r="B178" s="3591" t="s">
        <v>5004</v>
      </c>
      <c r="C178" s="3591"/>
      <c r="D178" s="3591"/>
      <c r="E178" s="3591"/>
      <c r="F178" s="3591"/>
      <c r="G178" s="3591"/>
      <c r="H178" s="3591"/>
      <c r="I178" s="3591"/>
      <c r="J178" s="3591"/>
      <c r="K178" s="3591"/>
      <c r="L178" s="3591"/>
      <c r="M178" s="3591"/>
      <c r="N178" s="3591"/>
      <c r="O178" s="3591"/>
      <c r="P178" s="3608" t="s">
        <v>5176</v>
      </c>
      <c r="Q178" s="3609"/>
      <c r="AA178" s="2492">
        <v>178</v>
      </c>
    </row>
    <row r="179" spans="1:27" ht="15">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4" t="s">
        <v>5038</v>
      </c>
      <c r="C180" s="3594"/>
      <c r="D180" s="3594"/>
      <c r="E180" s="3594"/>
      <c r="F180" s="3594"/>
      <c r="G180" s="3594"/>
      <c r="H180" s="3594"/>
      <c r="I180" s="3594"/>
      <c r="J180" s="3594"/>
      <c r="K180" s="3594"/>
      <c r="L180" s="3594"/>
      <c r="M180" s="3594"/>
      <c r="N180" s="3594"/>
      <c r="O180" s="3594"/>
      <c r="P180" s="1943"/>
      <c r="Q180" s="1943"/>
      <c r="AA180" s="2493">
        <v>180</v>
      </c>
    </row>
    <row r="181" spans="1:27" ht="28.5" customHeight="1">
      <c r="A181" s="1937"/>
      <c r="B181" s="1937"/>
      <c r="C181" s="1968"/>
      <c r="D181" s="3594" t="s">
        <v>5039</v>
      </c>
      <c r="E181" s="3594"/>
      <c r="F181" s="3594"/>
      <c r="G181" s="3594"/>
      <c r="H181" s="3594"/>
      <c r="I181" s="3594"/>
      <c r="J181" s="3594"/>
      <c r="K181" s="3594"/>
      <c r="L181" s="3594"/>
      <c r="M181" s="3594"/>
      <c r="N181" s="3594"/>
      <c r="O181" s="3594"/>
      <c r="P181" s="3663">
        <f>'Part VIII Scoring Criteria'!O105</f>
        <v>8</v>
      </c>
      <c r="Q181" s="3664"/>
      <c r="AA181" s="2493"/>
    </row>
    <row r="182" spans="1:27" ht="12" customHeight="1">
      <c r="A182" s="1937"/>
      <c r="C182" s="1937"/>
      <c r="D182" s="1937"/>
      <c r="E182" s="1937"/>
      <c r="F182" s="1937"/>
      <c r="G182" s="1937"/>
      <c r="H182" s="1937"/>
      <c r="I182" s="1937"/>
      <c r="J182" s="1937"/>
      <c r="K182" s="1937"/>
      <c r="L182" s="3662" t="s">
        <v>4681</v>
      </c>
      <c r="M182" s="3662"/>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4</v>
      </c>
      <c r="M184" s="1984">
        <f>'DCA Underwriting Assumptions'!$Q$147</f>
        <v>0.05</v>
      </c>
      <c r="N184" s="2085" t="s">
        <v>4798</v>
      </c>
      <c r="O184" s="1943"/>
      <c r="P184" s="3603">
        <v>4</v>
      </c>
      <c r="Q184" s="3656"/>
      <c r="AA184" s="2492">
        <v>183</v>
      </c>
    </row>
    <row r="185" spans="1:27" ht="15" customHeight="1">
      <c r="A185" s="1947"/>
      <c r="B185" s="1942"/>
      <c r="D185" s="3591" t="s">
        <v>4799</v>
      </c>
      <c r="E185" s="3591"/>
      <c r="F185" s="3591"/>
      <c r="G185" s="3591"/>
      <c r="H185" s="3591"/>
      <c r="I185" s="3591"/>
      <c r="J185" s="3591"/>
      <c r="K185" s="1982"/>
      <c r="L185" s="1985">
        <f>ROUNDUP(L184*M185,0)</f>
        <v>2</v>
      </c>
      <c r="M185" s="1984">
        <f>'DCA Underwriting Assumptions'!$Q$148</f>
        <v>0.4</v>
      </c>
      <c r="N185" s="2085" t="s">
        <v>4800</v>
      </c>
      <c r="O185" s="1943"/>
      <c r="P185" s="3605">
        <v>2</v>
      </c>
      <c r="Q185" s="3658"/>
      <c r="AA185" s="2492">
        <v>184</v>
      </c>
    </row>
    <row r="186" spans="1:27" ht="15" customHeight="1">
      <c r="A186" s="1947"/>
      <c r="B186" s="3591" t="s">
        <v>4685</v>
      </c>
      <c r="C186" s="3591"/>
      <c r="D186" s="3591"/>
      <c r="E186" s="3591"/>
      <c r="F186" s="3591"/>
      <c r="G186" s="3591"/>
      <c r="H186" s="3591"/>
      <c r="I186" s="3591"/>
      <c r="J186" s="3591"/>
      <c r="K186" s="1937"/>
      <c r="L186" s="1986">
        <f>ROUNDUP('Part V-Revenues &amp; Expenses'!$P$67*M186,0)</f>
        <v>2</v>
      </c>
      <c r="M186" s="1984">
        <f>'DCA Underwriting Assumptions'!$Q$149</f>
        <v>0.02</v>
      </c>
      <c r="N186" s="2085" t="s">
        <v>4798</v>
      </c>
      <c r="O186" s="1943"/>
      <c r="P186" s="3608">
        <v>2</v>
      </c>
      <c r="Q186" s="3657"/>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659" t="s">
        <v>5177</v>
      </c>
      <c r="N188" s="3660"/>
      <c r="O188" s="3660"/>
      <c r="P188" s="3660"/>
      <c r="Q188" s="3661"/>
      <c r="AA188" s="2492">
        <v>187</v>
      </c>
    </row>
    <row r="189" spans="1:27" ht="15.6" customHeight="1">
      <c r="A189" s="1947"/>
      <c r="C189" s="1937"/>
      <c r="D189" s="1934" t="s">
        <v>4802</v>
      </c>
      <c r="O189" s="1943"/>
      <c r="P189" s="1962" t="s">
        <v>2644</v>
      </c>
      <c r="Q189" s="1955"/>
      <c r="R189" s="1943"/>
      <c r="AA189" s="2492">
        <v>188</v>
      </c>
    </row>
    <row r="190" spans="1:27" ht="15.6" customHeight="1">
      <c r="A190" s="1947"/>
      <c r="C190" s="1937"/>
      <c r="D190" s="1934" t="s">
        <v>4803</v>
      </c>
      <c r="O190" s="1943"/>
      <c r="P190" s="1959" t="s">
        <v>2644</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30.6" customHeight="1">
      <c r="A192" s="3583" t="s">
        <v>5197</v>
      </c>
      <c r="B192" s="3583"/>
      <c r="C192" s="3583"/>
      <c r="D192" s="3583"/>
      <c r="E192" s="3583"/>
      <c r="F192" s="3583"/>
      <c r="G192" s="3583"/>
      <c r="H192" s="3583"/>
      <c r="I192" s="3583"/>
      <c r="J192" s="3583"/>
      <c r="K192" s="3583"/>
      <c r="L192" s="3583"/>
      <c r="M192" s="3583"/>
      <c r="N192" s="3583"/>
      <c r="O192" s="3583"/>
      <c r="P192" s="3583"/>
      <c r="Q192" s="365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6"/>
      <c r="B194" s="3586"/>
      <c r="C194" s="3586"/>
      <c r="D194" s="3586"/>
      <c r="E194" s="3586"/>
      <c r="F194" s="3586"/>
      <c r="G194" s="3586"/>
      <c r="H194" s="3586"/>
      <c r="I194" s="3586"/>
      <c r="J194" s="3586"/>
      <c r="K194" s="3586"/>
      <c r="L194" s="3586"/>
      <c r="M194" s="3586"/>
      <c r="N194" s="3586"/>
      <c r="O194" s="3586"/>
      <c r="P194" s="3586"/>
      <c r="Q194" s="3639"/>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589"/>
      <c r="Q197" s="3638"/>
      <c r="AA197" s="2492">
        <v>196</v>
      </c>
    </row>
    <row r="198" spans="1:27" ht="15" customHeight="1">
      <c r="B198" s="1934" t="s">
        <v>4680</v>
      </c>
      <c r="P198" s="3603" t="s">
        <v>2644</v>
      </c>
      <c r="Q198" s="3656"/>
      <c r="AA198" s="2492">
        <v>197</v>
      </c>
    </row>
    <row r="199" spans="1:27" ht="28.5" customHeight="1">
      <c r="B199" s="3591" t="s">
        <v>5005</v>
      </c>
      <c r="C199" s="3591"/>
      <c r="D199" s="3591"/>
      <c r="E199" s="3591"/>
      <c r="F199" s="3591"/>
      <c r="G199" s="3591"/>
      <c r="H199" s="3591"/>
      <c r="I199" s="3591"/>
      <c r="J199" s="3591"/>
      <c r="K199" s="3591"/>
      <c r="L199" s="3591"/>
      <c r="M199" s="3591"/>
      <c r="N199" s="3591"/>
      <c r="P199" s="3608" t="s">
        <v>2641</v>
      </c>
      <c r="Q199" s="3657"/>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4" t="s">
        <v>4736</v>
      </c>
      <c r="D201" s="3594"/>
      <c r="E201" s="3594"/>
      <c r="F201" s="3648" t="s">
        <v>5029</v>
      </c>
      <c r="G201" s="3649"/>
      <c r="H201" s="3649"/>
      <c r="I201" s="3649"/>
      <c r="J201" s="3649"/>
      <c r="K201" s="3649"/>
      <c r="L201" s="3649"/>
      <c r="M201" s="3649"/>
      <c r="N201" s="3649"/>
      <c r="O201" s="3649"/>
      <c r="P201" s="3649"/>
      <c r="Q201" s="3650"/>
      <c r="AA201" s="2492">
        <v>200</v>
      </c>
    </row>
    <row r="202" spans="1:27" ht="30" customHeight="1">
      <c r="B202" s="1970" t="s">
        <v>1612</v>
      </c>
      <c r="C202" s="3594" t="s">
        <v>4737</v>
      </c>
      <c r="D202" s="3594"/>
      <c r="E202" s="3594"/>
      <c r="F202" s="3594"/>
      <c r="G202" s="3595"/>
      <c r="H202" s="3648" t="s">
        <v>5028</v>
      </c>
      <c r="I202" s="3649"/>
      <c r="J202" s="3649"/>
      <c r="K202" s="3649"/>
      <c r="L202" s="3649"/>
      <c r="M202" s="3649"/>
      <c r="N202" s="3649"/>
      <c r="O202" s="3649"/>
      <c r="P202" s="3649"/>
      <c r="Q202" s="3650"/>
      <c r="AA202" s="2492">
        <v>201</v>
      </c>
    </row>
    <row r="203" spans="1:27" ht="20.25" customHeight="1">
      <c r="A203" s="1947"/>
      <c r="B203" s="1970" t="s">
        <v>1613</v>
      </c>
      <c r="C203" s="3591" t="s">
        <v>4686</v>
      </c>
      <c r="D203" s="3591"/>
      <c r="E203" s="3591"/>
      <c r="F203" s="3591"/>
      <c r="G203" s="3591"/>
      <c r="H203" s="3591"/>
      <c r="I203" s="3591"/>
      <c r="J203" s="3591"/>
      <c r="K203" s="3591"/>
      <c r="L203" s="3591"/>
      <c r="M203" s="3591"/>
      <c r="N203" s="3591"/>
      <c r="O203" s="3591"/>
      <c r="P203" s="3591"/>
      <c r="Q203" s="3591"/>
      <c r="AA203" s="2492">
        <v>202</v>
      </c>
    </row>
    <row r="204" spans="1:27" ht="15.6" customHeight="1">
      <c r="A204" s="1947"/>
      <c r="B204" s="1943"/>
      <c r="C204" s="3651" t="s">
        <v>2804</v>
      </c>
      <c r="D204" s="3651"/>
      <c r="E204" s="3651"/>
      <c r="F204" s="3651"/>
      <c r="G204" s="3651"/>
      <c r="H204" s="3651"/>
      <c r="I204" s="3651"/>
      <c r="J204" s="3651"/>
      <c r="K204" s="3651"/>
      <c r="L204" s="3651"/>
      <c r="M204" s="3651"/>
      <c r="N204" s="3651"/>
      <c r="O204" s="3651"/>
      <c r="P204" s="3651"/>
      <c r="Q204" s="3652"/>
      <c r="AA204" s="2492">
        <v>203</v>
      </c>
    </row>
    <row r="205" spans="1:27" ht="15.6" customHeight="1">
      <c r="A205" s="1947"/>
      <c r="B205" s="1943"/>
      <c r="C205" s="3653" t="s">
        <v>2804</v>
      </c>
      <c r="D205" s="3653"/>
      <c r="E205" s="3653"/>
      <c r="F205" s="3653"/>
      <c r="G205" s="3653"/>
      <c r="H205" s="3653"/>
      <c r="I205" s="3653"/>
      <c r="J205" s="3653"/>
      <c r="K205" s="3653"/>
      <c r="L205" s="3653"/>
      <c r="M205" s="3653"/>
      <c r="N205" s="3653"/>
      <c r="O205" s="3653"/>
      <c r="P205" s="3653"/>
      <c r="Q205" s="3654"/>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33.6" customHeight="1">
      <c r="A207" s="3583" t="s">
        <v>5198</v>
      </c>
      <c r="B207" s="3583"/>
      <c r="C207" s="3583"/>
      <c r="D207" s="3583"/>
      <c r="E207" s="3583"/>
      <c r="F207" s="3583"/>
      <c r="G207" s="3583"/>
      <c r="H207" s="3583"/>
      <c r="I207" s="3583"/>
      <c r="J207" s="3583"/>
      <c r="K207" s="3583"/>
      <c r="L207" s="3583"/>
      <c r="M207" s="3583"/>
      <c r="N207" s="3583"/>
      <c r="O207" s="3583"/>
      <c r="P207" s="3583"/>
      <c r="Q207" s="365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6"/>
      <c r="B209" s="3586"/>
      <c r="C209" s="3586"/>
      <c r="D209" s="3586"/>
      <c r="E209" s="3586"/>
      <c r="F209" s="3586"/>
      <c r="G209" s="3586"/>
      <c r="H209" s="3586"/>
      <c r="I209" s="3586"/>
      <c r="J209" s="3586"/>
      <c r="K209" s="3586"/>
      <c r="L209" s="3586"/>
      <c r="M209" s="3586"/>
      <c r="N209" s="3586"/>
      <c r="O209" s="3586"/>
      <c r="P209" s="3586"/>
      <c r="Q209" s="3639"/>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40"/>
      <c r="Q212" s="3641"/>
      <c r="AA212" s="2492">
        <v>211</v>
      </c>
    </row>
    <row r="213" spans="1:27" ht="15" customHeight="1">
      <c r="A213" s="1947"/>
      <c r="B213" s="1934" t="s">
        <v>4795</v>
      </c>
      <c r="O213" s="1943"/>
      <c r="P213" s="3642" t="s">
        <v>2644</v>
      </c>
      <c r="Q213" s="3643"/>
      <c r="AA213" s="2492">
        <v>212</v>
      </c>
    </row>
    <row r="214" spans="1:27" ht="15" customHeight="1">
      <c r="A214" s="1947"/>
      <c r="B214" s="1934" t="s">
        <v>4806</v>
      </c>
      <c r="O214" s="1943"/>
      <c r="P214" s="3644" t="s">
        <v>5178</v>
      </c>
      <c r="Q214" s="3645"/>
      <c r="AA214" s="2492">
        <v>213</v>
      </c>
    </row>
    <row r="215" spans="1:27" ht="15" customHeight="1">
      <c r="A215" s="1947"/>
      <c r="B215" s="1934" t="s">
        <v>4807</v>
      </c>
      <c r="C215" s="1937"/>
      <c r="K215" s="1935"/>
      <c r="M215" s="1943"/>
      <c r="O215" s="1988"/>
      <c r="P215" s="3644" t="s">
        <v>5178</v>
      </c>
      <c r="Q215" s="3645"/>
      <c r="AA215" s="2492">
        <v>214</v>
      </c>
    </row>
    <row r="216" spans="1:27" ht="29.45" customHeight="1">
      <c r="A216" s="1947"/>
      <c r="B216" s="3591" t="s">
        <v>4808</v>
      </c>
      <c r="C216" s="3591"/>
      <c r="D216" s="3591"/>
      <c r="E216" s="3591"/>
      <c r="F216" s="3591"/>
      <c r="G216" s="3591"/>
      <c r="H216" s="3591"/>
      <c r="I216" s="3591"/>
      <c r="J216" s="3591"/>
      <c r="K216" s="3591"/>
      <c r="L216" s="3591"/>
      <c r="M216" s="3591"/>
      <c r="N216" s="3591"/>
      <c r="O216" s="3591"/>
      <c r="P216" s="3646" t="s">
        <v>2644</v>
      </c>
      <c r="Q216" s="3647"/>
      <c r="AA216" s="2492">
        <v>215</v>
      </c>
    </row>
    <row r="217" spans="1:27" ht="15.6" customHeight="1">
      <c r="A217" s="1947"/>
      <c r="B217" s="1934" t="s">
        <v>4809</v>
      </c>
      <c r="M217" s="1937"/>
      <c r="N217" s="1937"/>
      <c r="O217" s="3630" t="s">
        <v>5052</v>
      </c>
      <c r="P217" s="3631"/>
      <c r="Q217" s="3632"/>
      <c r="AA217" s="2493">
        <v>216</v>
      </c>
    </row>
    <row r="218" spans="1:27" ht="15.6" customHeight="1">
      <c r="A218" s="1947"/>
      <c r="B218" s="1933" t="s">
        <v>4687</v>
      </c>
      <c r="G218" s="3589"/>
      <c r="H218" s="3633"/>
      <c r="I218" s="3633"/>
      <c r="J218" s="3633"/>
      <c r="K218" s="3633"/>
      <c r="L218" s="3590"/>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52.9" customHeight="1">
      <c r="A220" s="3627" t="s">
        <v>5199</v>
      </c>
      <c r="B220" s="3634"/>
      <c r="C220" s="3634"/>
      <c r="D220" s="3634"/>
      <c r="E220" s="3634"/>
      <c r="F220" s="3634"/>
      <c r="G220" s="3634"/>
      <c r="H220" s="3634"/>
      <c r="I220" s="3634"/>
      <c r="J220" s="3634"/>
      <c r="K220" s="3634"/>
      <c r="L220" s="3634"/>
      <c r="M220" s="3634"/>
      <c r="N220" s="3634"/>
      <c r="O220" s="3634"/>
      <c r="P220" s="3634"/>
      <c r="Q220" s="3635"/>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5"/>
      <c r="B222" s="3636"/>
      <c r="C222" s="3636"/>
      <c r="D222" s="3636"/>
      <c r="E222" s="3636"/>
      <c r="F222" s="3636"/>
      <c r="G222" s="3636"/>
      <c r="H222" s="3636"/>
      <c r="I222" s="3636"/>
      <c r="J222" s="3636"/>
      <c r="K222" s="3636"/>
      <c r="L222" s="3636"/>
      <c r="M222" s="3636"/>
      <c r="N222" s="3636"/>
      <c r="O222" s="3636"/>
      <c r="P222" s="3636"/>
      <c r="Q222" s="3637"/>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589"/>
      <c r="Q225" s="3638"/>
      <c r="AA225" s="2492">
        <v>224</v>
      </c>
    </row>
    <row r="226" spans="1:28" ht="33.75" customHeight="1">
      <c r="A226" s="1941"/>
      <c r="B226" s="3591" t="s">
        <v>4688</v>
      </c>
      <c r="C226" s="3591"/>
      <c r="D226" s="3591"/>
      <c r="E226" s="3591"/>
      <c r="F226" s="3591"/>
      <c r="G226" s="3591"/>
      <c r="H226" s="3591"/>
      <c r="I226" s="3591"/>
      <c r="J226" s="3591"/>
      <c r="K226" s="3591"/>
      <c r="L226" s="3591"/>
      <c r="M226" s="3591"/>
      <c r="N226" s="3591"/>
      <c r="O226" s="3592"/>
      <c r="P226" s="3600" t="s">
        <v>5176</v>
      </c>
      <c r="Q226" s="3601"/>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594" t="s">
        <v>5006</v>
      </c>
      <c r="H228" s="3594"/>
      <c r="I228" s="3594"/>
      <c r="J228" s="3594"/>
      <c r="K228" s="3594"/>
      <c r="L228" s="3594"/>
      <c r="M228" s="3594"/>
      <c r="N228" s="3594"/>
      <c r="O228" s="3595"/>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4" t="s">
        <v>4812</v>
      </c>
      <c r="D229" s="3594"/>
      <c r="E229" s="3594"/>
      <c r="F229" s="3594"/>
      <c r="G229" s="3594" t="s">
        <v>5007</v>
      </c>
      <c r="H229" s="3594"/>
      <c r="I229" s="3594"/>
      <c r="J229" s="3594"/>
      <c r="K229" s="3594"/>
      <c r="L229" s="3594"/>
      <c r="M229" s="3594"/>
      <c r="N229" s="3594"/>
      <c r="O229" s="3595"/>
      <c r="P229" s="2089"/>
      <c r="Q229" s="1960"/>
      <c r="R229" s="2056"/>
      <c r="S229" s="2056"/>
      <c r="T229" s="2056"/>
      <c r="U229" s="2056"/>
      <c r="V229" s="2056"/>
      <c r="W229" s="2056"/>
      <c r="X229" s="2056"/>
      <c r="Y229" s="2056"/>
      <c r="Z229" s="2056"/>
      <c r="AA229" s="2492">
        <v>228</v>
      </c>
      <c r="AB229" s="2056"/>
    </row>
    <row r="230" spans="1:28" ht="44.25" customHeight="1">
      <c r="A230" s="1963" t="s">
        <v>1838</v>
      </c>
      <c r="B230" s="3594" t="s">
        <v>4813</v>
      </c>
      <c r="C230" s="3594"/>
      <c r="D230" s="3594"/>
      <c r="E230" s="3594"/>
      <c r="F230" s="3594"/>
      <c r="G230" s="3594"/>
      <c r="H230" s="3594"/>
      <c r="I230" s="3594"/>
      <c r="J230" s="3594"/>
      <c r="K230" s="3594"/>
      <c r="L230" s="3594"/>
      <c r="M230" s="3594"/>
      <c r="N230" s="3594"/>
      <c r="O230" s="3594"/>
      <c r="P230" s="2092"/>
      <c r="Q230" s="2091"/>
      <c r="AA230" s="2492">
        <v>229</v>
      </c>
    </row>
    <row r="231" spans="1:28" ht="20.25" customHeight="1">
      <c r="A231" s="1947" t="s">
        <v>697</v>
      </c>
      <c r="B231" s="1934" t="s">
        <v>4814</v>
      </c>
      <c r="G231" s="1934" t="s">
        <v>4815</v>
      </c>
      <c r="P231" s="2092" t="s">
        <v>5176</v>
      </c>
      <c r="Q231" s="2091"/>
      <c r="AA231" s="2492">
        <v>230</v>
      </c>
    </row>
    <row r="232" spans="1:28" ht="45" customHeight="1">
      <c r="A232" s="1963" t="s">
        <v>1957</v>
      </c>
      <c r="B232" s="3594" t="s">
        <v>4689</v>
      </c>
      <c r="C232" s="3594"/>
      <c r="D232" s="3594"/>
      <c r="E232" s="3594"/>
      <c r="F232" s="3594"/>
      <c r="G232" s="3594"/>
      <c r="H232" s="3594"/>
      <c r="I232" s="3594"/>
      <c r="J232" s="3594"/>
      <c r="K232" s="3594"/>
      <c r="L232" s="3594"/>
      <c r="M232" s="3594"/>
      <c r="N232" s="3594"/>
      <c r="O232" s="3594"/>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7" t="s">
        <v>5200</v>
      </c>
      <c r="B234" s="3628"/>
      <c r="C234" s="3628"/>
      <c r="D234" s="3628"/>
      <c r="E234" s="3628"/>
      <c r="F234" s="3628"/>
      <c r="G234" s="3628"/>
      <c r="H234" s="3628"/>
      <c r="I234" s="3628"/>
      <c r="J234" s="3628"/>
      <c r="K234" s="3628"/>
      <c r="L234" s="3628"/>
      <c r="M234" s="3628"/>
      <c r="N234" s="3628"/>
      <c r="O234" s="3628"/>
      <c r="P234" s="3628"/>
      <c r="Q234" s="3629"/>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5"/>
      <c r="B236" s="3616"/>
      <c r="C236" s="3616"/>
      <c r="D236" s="3616"/>
      <c r="E236" s="3616"/>
      <c r="F236" s="3616"/>
      <c r="G236" s="3616"/>
      <c r="H236" s="3616"/>
      <c r="I236" s="3616"/>
      <c r="J236" s="3616"/>
      <c r="K236" s="3616"/>
      <c r="L236" s="3616"/>
      <c r="M236" s="3616"/>
      <c r="N236" s="3616"/>
      <c r="O236" s="3616"/>
      <c r="P236" s="3616"/>
      <c r="Q236" s="3617"/>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589"/>
      <c r="Q239" s="3590"/>
      <c r="AA239" s="2492">
        <v>238</v>
      </c>
    </row>
    <row r="240" spans="1:28" ht="20.25" customHeight="1">
      <c r="A240" s="1947"/>
      <c r="B240" s="3618" t="s">
        <v>3270</v>
      </c>
      <c r="C240" s="3618"/>
      <c r="D240" s="3618"/>
      <c r="E240" s="3618"/>
      <c r="F240" s="3619"/>
      <c r="G240" s="3620"/>
      <c r="H240" s="3621"/>
      <c r="I240" s="3621"/>
      <c r="J240" s="3621"/>
      <c r="K240" s="3621"/>
      <c r="L240" s="3621"/>
      <c r="M240" s="3621"/>
      <c r="N240" s="3621"/>
      <c r="O240" s="3621"/>
      <c r="P240" s="3621"/>
      <c r="Q240" s="3622"/>
      <c r="AA240" s="2492">
        <v>239</v>
      </c>
    </row>
    <row r="241" spans="1:27" ht="20.25" customHeight="1" thickBot="1">
      <c r="A241" s="1947"/>
      <c r="B241" s="3618" t="s">
        <v>3271</v>
      </c>
      <c r="C241" s="3618"/>
      <c r="D241" s="3618"/>
      <c r="E241" s="3618"/>
      <c r="F241" s="3619"/>
      <c r="G241" s="3623"/>
      <c r="H241" s="3624"/>
      <c r="I241" s="3624"/>
      <c r="J241" s="3624"/>
      <c r="K241" s="3624"/>
      <c r="L241" s="3624"/>
      <c r="M241" s="3624"/>
      <c r="N241" s="3624"/>
      <c r="O241" s="3624"/>
      <c r="P241" s="3625"/>
      <c r="Q241" s="3626"/>
      <c r="AA241" s="2492">
        <v>240</v>
      </c>
    </row>
    <row r="242" spans="1:27" ht="30" customHeight="1" thickBot="1">
      <c r="A242" s="1947"/>
      <c r="B242" s="3594" t="s">
        <v>5008</v>
      </c>
      <c r="C242" s="3594"/>
      <c r="D242" s="3594"/>
      <c r="E242" s="3594"/>
      <c r="F242" s="3594"/>
      <c r="G242" s="3594"/>
      <c r="H242" s="3594"/>
      <c r="I242" s="3594"/>
      <c r="J242" s="3594"/>
      <c r="K242" s="3594"/>
      <c r="L242" s="3594"/>
      <c r="M242" s="3594"/>
      <c r="N242" s="3594"/>
      <c r="O242" s="3612"/>
      <c r="P242" s="3613"/>
      <c r="Q242" s="3614"/>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583" t="s">
        <v>905</v>
      </c>
      <c r="B244" s="3584"/>
      <c r="C244" s="3584"/>
      <c r="D244" s="3584"/>
      <c r="E244" s="3584"/>
      <c r="F244" s="3584"/>
      <c r="G244" s="3584"/>
      <c r="H244" s="3584"/>
      <c r="I244" s="3584"/>
      <c r="J244" s="3584"/>
      <c r="K244" s="3584"/>
      <c r="L244" s="3584"/>
      <c r="M244" s="3584"/>
      <c r="N244" s="3584"/>
      <c r="O244" s="3584"/>
      <c r="P244" s="3584"/>
      <c r="Q244" s="358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6"/>
      <c r="B246" s="3587"/>
      <c r="C246" s="3587"/>
      <c r="D246" s="3587"/>
      <c r="E246" s="3587"/>
      <c r="F246" s="3587"/>
      <c r="G246" s="3587"/>
      <c r="H246" s="3587"/>
      <c r="I246" s="3587"/>
      <c r="J246" s="3587"/>
      <c r="K246" s="3587"/>
      <c r="L246" s="3587"/>
      <c r="M246" s="3587"/>
      <c r="N246" s="3587"/>
      <c r="O246" s="3587"/>
      <c r="P246" s="3587"/>
      <c r="Q246" s="358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589"/>
      <c r="Q249" s="3590"/>
      <c r="AA249" s="2492">
        <v>248</v>
      </c>
    </row>
    <row r="250" spans="1:27" ht="15.6" customHeight="1">
      <c r="A250" s="1947"/>
      <c r="B250" s="1934" t="s">
        <v>2431</v>
      </c>
      <c r="D250" s="1950"/>
      <c r="E250" s="1950"/>
      <c r="O250" s="1943"/>
      <c r="P250" s="3603" t="s">
        <v>2641</v>
      </c>
      <c r="Q250" s="3604"/>
      <c r="AA250" s="2492">
        <v>249</v>
      </c>
    </row>
    <row r="251" spans="1:27" ht="15.6" customHeight="1">
      <c r="A251" s="1947"/>
      <c r="B251" s="1934" t="s">
        <v>3058</v>
      </c>
      <c r="D251" s="1950"/>
      <c r="E251" s="1950"/>
      <c r="O251" s="1943"/>
      <c r="P251" s="3605" t="s">
        <v>2644</v>
      </c>
      <c r="Q251" s="3606"/>
      <c r="AA251" s="2492">
        <v>250</v>
      </c>
    </row>
    <row r="252" spans="1:27" ht="15.6" customHeight="1">
      <c r="A252" s="1947"/>
      <c r="B252" s="1934" t="s">
        <v>689</v>
      </c>
      <c r="D252" s="3583"/>
      <c r="E252" s="3584"/>
      <c r="F252" s="3584"/>
      <c r="G252" s="3584"/>
      <c r="H252" s="3584"/>
      <c r="I252" s="3584"/>
      <c r="J252" s="3584"/>
      <c r="K252" s="3584"/>
      <c r="L252" s="3584"/>
      <c r="M252" s="3584"/>
      <c r="N252" s="3584"/>
      <c r="O252" s="3584"/>
      <c r="P252" s="3610"/>
      <c r="Q252" s="3611"/>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583" t="s">
        <v>5201</v>
      </c>
      <c r="B254" s="3584"/>
      <c r="C254" s="3584"/>
      <c r="D254" s="3584"/>
      <c r="E254" s="3584"/>
      <c r="F254" s="3584"/>
      <c r="G254" s="3584"/>
      <c r="H254" s="3584"/>
      <c r="I254" s="3584"/>
      <c r="J254" s="3584"/>
      <c r="K254" s="3584"/>
      <c r="L254" s="3584"/>
      <c r="M254" s="3584"/>
      <c r="N254" s="3584"/>
      <c r="O254" s="3584"/>
      <c r="P254" s="3584"/>
      <c r="Q254" s="358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6"/>
      <c r="B256" s="3587"/>
      <c r="C256" s="3587"/>
      <c r="D256" s="3587"/>
      <c r="E256" s="3587"/>
      <c r="F256" s="3587"/>
      <c r="G256" s="3587"/>
      <c r="H256" s="3587"/>
      <c r="I256" s="3587"/>
      <c r="J256" s="3587"/>
      <c r="K256" s="3587"/>
      <c r="L256" s="3587"/>
      <c r="M256" s="3587"/>
      <c r="N256" s="3587"/>
      <c r="O256" s="3587"/>
      <c r="P256" s="3587"/>
      <c r="Q256" s="358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589"/>
      <c r="Q259" s="3590"/>
      <c r="AA259" s="2492">
        <v>258</v>
      </c>
    </row>
    <row r="260" spans="1:27" ht="15.6" customHeight="1">
      <c r="B260" s="1934" t="s">
        <v>4148</v>
      </c>
      <c r="O260" s="1943"/>
      <c r="P260" s="3600" t="s">
        <v>2644</v>
      </c>
      <c r="Q260" s="3601"/>
      <c r="AA260" s="2492">
        <v>259</v>
      </c>
    </row>
    <row r="261" spans="1:27" ht="15.6" customHeight="1">
      <c r="A261" s="1947"/>
      <c r="B261" s="3602" t="s">
        <v>700</v>
      </c>
      <c r="C261" s="3602"/>
      <c r="D261" s="3602"/>
      <c r="E261" s="3602"/>
      <c r="F261" s="3602"/>
      <c r="G261" s="3602"/>
      <c r="H261" s="3602"/>
      <c r="I261" s="3602"/>
      <c r="J261" s="3602"/>
      <c r="K261" s="3602"/>
      <c r="L261" s="3602"/>
      <c r="M261" s="3602"/>
      <c r="N261" s="3602"/>
      <c r="O261" s="3602"/>
      <c r="P261" s="3603" t="s">
        <v>2641</v>
      </c>
      <c r="Q261" s="3604"/>
      <c r="AA261" s="2492">
        <v>260</v>
      </c>
    </row>
    <row r="262" spans="1:27" ht="15.6" customHeight="1">
      <c r="B262" s="3602" t="s">
        <v>4817</v>
      </c>
      <c r="C262" s="3602"/>
      <c r="D262" s="3602"/>
      <c r="E262" s="3602"/>
      <c r="F262" s="3602"/>
      <c r="G262" s="3602"/>
      <c r="H262" s="3602"/>
      <c r="I262" s="3602"/>
      <c r="J262" s="3602"/>
      <c r="K262" s="3602"/>
      <c r="L262" s="3602"/>
      <c r="M262" s="3602"/>
      <c r="N262" s="3602"/>
      <c r="O262" s="3602"/>
      <c r="P262" s="3605" t="s">
        <v>2644</v>
      </c>
      <c r="Q262" s="3606"/>
      <c r="AA262" s="2493">
        <v>261</v>
      </c>
    </row>
    <row r="263" spans="1:27" ht="27.95" customHeight="1">
      <c r="A263" s="1947"/>
      <c r="B263" s="3607" t="s">
        <v>4816</v>
      </c>
      <c r="C263" s="3607"/>
      <c r="D263" s="3607"/>
      <c r="E263" s="3607"/>
      <c r="F263" s="3607"/>
      <c r="G263" s="3607"/>
      <c r="H263" s="3607"/>
      <c r="I263" s="3607"/>
      <c r="J263" s="3607"/>
      <c r="K263" s="3607"/>
      <c r="L263" s="3607"/>
      <c r="M263" s="3607"/>
      <c r="N263" s="3607"/>
      <c r="O263" s="3607"/>
      <c r="P263" s="3608" t="s">
        <v>2644</v>
      </c>
      <c r="Q263" s="3609"/>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583" t="s">
        <v>5202</v>
      </c>
      <c r="B265" s="3584"/>
      <c r="C265" s="3584"/>
      <c r="D265" s="3584"/>
      <c r="E265" s="3584"/>
      <c r="F265" s="3584"/>
      <c r="G265" s="3584"/>
      <c r="H265" s="3584"/>
      <c r="I265" s="3584"/>
      <c r="J265" s="3584"/>
      <c r="K265" s="3584"/>
      <c r="L265" s="3584"/>
      <c r="M265" s="3584"/>
      <c r="N265" s="3584"/>
      <c r="O265" s="3584"/>
      <c r="P265" s="3584"/>
      <c r="Q265" s="358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6"/>
      <c r="B267" s="3587"/>
      <c r="C267" s="3587"/>
      <c r="D267" s="3587"/>
      <c r="E267" s="3587"/>
      <c r="F267" s="3587"/>
      <c r="G267" s="3587"/>
      <c r="H267" s="3587"/>
      <c r="I267" s="3587"/>
      <c r="J267" s="3587"/>
      <c r="K267" s="3587"/>
      <c r="L267" s="3587"/>
      <c r="M267" s="3587"/>
      <c r="N267" s="3587"/>
      <c r="O267" s="3587"/>
      <c r="P267" s="3587"/>
      <c r="Q267" s="358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597"/>
      <c r="Q270" s="3597"/>
      <c r="AA270" s="2492">
        <v>269</v>
      </c>
    </row>
    <row r="271" spans="1:27" ht="28.5" customHeight="1">
      <c r="A271" s="1937"/>
      <c r="B271" s="3591" t="s">
        <v>5019</v>
      </c>
      <c r="C271" s="3591"/>
      <c r="D271" s="3591"/>
      <c r="E271" s="3591"/>
      <c r="F271" s="3591"/>
      <c r="G271" s="3591"/>
      <c r="H271" s="3591"/>
      <c r="I271" s="3591"/>
      <c r="J271" s="3591"/>
      <c r="K271" s="3591"/>
      <c r="L271" s="3591"/>
      <c r="M271" s="3591"/>
      <c r="N271" s="3591"/>
      <c r="O271" s="1992"/>
      <c r="P271" s="3600" t="s">
        <v>5176</v>
      </c>
      <c r="Q271" s="3601"/>
      <c r="AA271" s="2493">
        <v>270</v>
      </c>
    </row>
    <row r="272" spans="1:27" ht="44.45" customHeight="1">
      <c r="A272" s="1963"/>
      <c r="B272" s="3594" t="s">
        <v>4692</v>
      </c>
      <c r="C272" s="3594"/>
      <c r="D272" s="3594"/>
      <c r="E272" s="3594"/>
      <c r="F272" s="3594"/>
      <c r="G272" s="3594"/>
      <c r="H272" s="3594"/>
      <c r="I272" s="3594"/>
      <c r="J272" s="3594"/>
      <c r="K272" s="3594"/>
      <c r="L272" s="3594"/>
      <c r="M272" s="3594"/>
      <c r="N272" s="3594"/>
      <c r="O272" s="3595"/>
      <c r="P272" s="3593" t="s">
        <v>5176</v>
      </c>
      <c r="Q272" s="3593"/>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583" t="s">
        <v>5203</v>
      </c>
      <c r="B274" s="3584"/>
      <c r="C274" s="3584"/>
      <c r="D274" s="3584"/>
      <c r="E274" s="3584"/>
      <c r="F274" s="3584"/>
      <c r="G274" s="3584"/>
      <c r="H274" s="3584"/>
      <c r="I274" s="3584"/>
      <c r="J274" s="3584"/>
      <c r="K274" s="3584"/>
      <c r="L274" s="3584"/>
      <c r="M274" s="3584"/>
      <c r="N274" s="3584"/>
      <c r="O274" s="3584"/>
      <c r="P274" s="3584"/>
      <c r="Q274" s="358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6"/>
      <c r="B276" s="3587"/>
      <c r="C276" s="3587"/>
      <c r="D276" s="3587"/>
      <c r="E276" s="3587"/>
      <c r="F276" s="3587"/>
      <c r="G276" s="3587"/>
      <c r="H276" s="3587"/>
      <c r="I276" s="3587"/>
      <c r="J276" s="3587"/>
      <c r="K276" s="3587"/>
      <c r="L276" s="3587"/>
      <c r="M276" s="3587"/>
      <c r="N276" s="3587"/>
      <c r="O276" s="3587"/>
      <c r="P276" s="3587"/>
      <c r="Q276" s="358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597"/>
      <c r="Q279" s="3597"/>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594" t="s">
        <v>5009</v>
      </c>
      <c r="C281" s="3594"/>
      <c r="D281" s="3594"/>
      <c r="E281" s="3594"/>
      <c r="F281" s="3594"/>
      <c r="G281" s="3594"/>
      <c r="H281" s="3594"/>
      <c r="I281" s="3594"/>
      <c r="J281" s="3594"/>
      <c r="K281" s="3594"/>
      <c r="L281" s="3594"/>
      <c r="M281" s="3594"/>
      <c r="N281" s="3594"/>
      <c r="O281" s="3595"/>
      <c r="P281" s="3598" t="s">
        <v>5176</v>
      </c>
      <c r="Q281" s="3599"/>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594" t="s">
        <v>5016</v>
      </c>
      <c r="C283" s="3594"/>
      <c r="D283" s="3594"/>
      <c r="E283" s="3594"/>
      <c r="F283" s="3594"/>
      <c r="G283" s="3594"/>
      <c r="H283" s="3594"/>
      <c r="I283" s="3594"/>
      <c r="J283" s="3594"/>
      <c r="K283" s="3594"/>
      <c r="L283" s="3594"/>
      <c r="M283" s="3594"/>
      <c r="N283" s="3594"/>
      <c r="O283" s="3595"/>
      <c r="P283" s="3598" t="s">
        <v>5176</v>
      </c>
      <c r="Q283" s="3599"/>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583" t="s">
        <v>5204</v>
      </c>
      <c r="B285" s="3584"/>
      <c r="C285" s="3584"/>
      <c r="D285" s="3584"/>
      <c r="E285" s="3584"/>
      <c r="F285" s="3584"/>
      <c r="G285" s="3584"/>
      <c r="H285" s="3584"/>
      <c r="I285" s="3584"/>
      <c r="J285" s="3584"/>
      <c r="K285" s="3584"/>
      <c r="L285" s="3584"/>
      <c r="M285" s="3584"/>
      <c r="N285" s="3584"/>
      <c r="O285" s="3584"/>
      <c r="P285" s="3584"/>
      <c r="Q285" s="358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6"/>
      <c r="B287" s="3587"/>
      <c r="C287" s="3587"/>
      <c r="D287" s="3587"/>
      <c r="E287" s="3587"/>
      <c r="F287" s="3587"/>
      <c r="G287" s="3587"/>
      <c r="H287" s="3587"/>
      <c r="I287" s="3587"/>
      <c r="J287" s="3587"/>
      <c r="K287" s="3587"/>
      <c r="L287" s="3587"/>
      <c r="M287" s="3587"/>
      <c r="N287" s="3587"/>
      <c r="O287" s="3587"/>
      <c r="P287" s="3587"/>
      <c r="Q287" s="358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597"/>
      <c r="Q290" s="3597"/>
      <c r="AA290" s="2492">
        <v>289</v>
      </c>
    </row>
    <row r="291" spans="1:27" ht="30.75" customHeight="1">
      <c r="A291" s="1941"/>
      <c r="B291" s="3591" t="s">
        <v>5010</v>
      </c>
      <c r="C291" s="3591"/>
      <c r="D291" s="3591"/>
      <c r="E291" s="3591"/>
      <c r="F291" s="3591"/>
      <c r="G291" s="3591"/>
      <c r="H291" s="3591"/>
      <c r="I291" s="3591"/>
      <c r="J291" s="3591"/>
      <c r="K291" s="3591"/>
      <c r="L291" s="3591"/>
      <c r="M291" s="3591"/>
      <c r="N291" s="3591"/>
      <c r="O291" s="3592"/>
      <c r="P291" s="3593" t="s">
        <v>2641</v>
      </c>
      <c r="Q291" s="3593"/>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583" t="s">
        <v>5010</v>
      </c>
      <c r="B293" s="3584"/>
      <c r="C293" s="3584"/>
      <c r="D293" s="3584"/>
      <c r="E293" s="3584"/>
      <c r="F293" s="3584"/>
      <c r="G293" s="3584"/>
      <c r="H293" s="3584"/>
      <c r="I293" s="3584"/>
      <c r="J293" s="3584"/>
      <c r="K293" s="3584"/>
      <c r="L293" s="3584"/>
      <c r="M293" s="3584"/>
      <c r="N293" s="3584"/>
      <c r="O293" s="3584"/>
      <c r="P293" s="3584"/>
      <c r="Q293" s="358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6"/>
      <c r="B295" s="3587"/>
      <c r="C295" s="3587"/>
      <c r="D295" s="3587"/>
      <c r="E295" s="3587"/>
      <c r="F295" s="3587"/>
      <c r="G295" s="3587"/>
      <c r="H295" s="3587"/>
      <c r="I295" s="3587"/>
      <c r="J295" s="3587"/>
      <c r="K295" s="3587"/>
      <c r="L295" s="3587"/>
      <c r="M295" s="3587"/>
      <c r="N295" s="3587"/>
      <c r="O295" s="3587"/>
      <c r="P295" s="3587"/>
      <c r="Q295" s="358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589"/>
      <c r="Q298" s="3590"/>
      <c r="S298" s="1937"/>
      <c r="T298" s="1937"/>
      <c r="AA298" s="2493">
        <v>297</v>
      </c>
    </row>
    <row r="299" spans="1:27" ht="15">
      <c r="A299" s="1941"/>
      <c r="B299" s="3591" t="s">
        <v>5020</v>
      </c>
      <c r="C299" s="3591"/>
      <c r="D299" s="3591"/>
      <c r="E299" s="3591"/>
      <c r="F299" s="3591"/>
      <c r="G299" s="3591"/>
      <c r="H299" s="3591"/>
      <c r="I299" s="3591"/>
      <c r="J299" s="3591"/>
      <c r="K299" s="3591"/>
      <c r="L299" s="3591"/>
      <c r="M299" s="3591"/>
      <c r="N299" s="3591"/>
      <c r="O299" s="3592"/>
      <c r="P299" s="3593" t="s">
        <v>2641</v>
      </c>
      <c r="Q299" s="3593"/>
      <c r="AA299" s="2492">
        <v>298</v>
      </c>
    </row>
    <row r="300" spans="1:27" ht="30" customHeight="1">
      <c r="A300" s="1941"/>
      <c r="B300" s="3594" t="s">
        <v>4824</v>
      </c>
      <c r="C300" s="3594"/>
      <c r="D300" s="3594"/>
      <c r="E300" s="3594"/>
      <c r="F300" s="3594"/>
      <c r="G300" s="3594"/>
      <c r="H300" s="3594"/>
      <c r="I300" s="3594"/>
      <c r="J300" s="3594"/>
      <c r="K300" s="3594"/>
      <c r="L300" s="3594"/>
      <c r="M300" s="3594"/>
      <c r="N300" s="3594"/>
      <c r="O300" s="3595"/>
      <c r="P300" s="3596" t="s">
        <v>2641</v>
      </c>
      <c r="Q300" s="3596"/>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34.9" customHeight="1">
      <c r="A302" s="3583" t="s">
        <v>5205</v>
      </c>
      <c r="B302" s="3584"/>
      <c r="C302" s="3584"/>
      <c r="D302" s="3584"/>
      <c r="E302" s="3584"/>
      <c r="F302" s="3584"/>
      <c r="G302" s="3584"/>
      <c r="H302" s="3584"/>
      <c r="I302" s="3584"/>
      <c r="J302" s="3584"/>
      <c r="K302" s="3584"/>
      <c r="L302" s="3584"/>
      <c r="M302" s="3584"/>
      <c r="N302" s="3584"/>
      <c r="O302" s="3584"/>
      <c r="P302" s="3584"/>
      <c r="Q302" s="358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6"/>
      <c r="B304" s="3587"/>
      <c r="C304" s="3587"/>
      <c r="D304" s="3587"/>
      <c r="E304" s="3587"/>
      <c r="F304" s="3587"/>
      <c r="G304" s="3587"/>
      <c r="H304" s="3587"/>
      <c r="I304" s="3587"/>
      <c r="J304" s="3587"/>
      <c r="K304" s="3587"/>
      <c r="L304" s="3587"/>
      <c r="M304" s="3587"/>
      <c r="N304" s="3587"/>
      <c r="O304" s="3587"/>
      <c r="P304" s="3587"/>
      <c r="Q304" s="358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589"/>
      <c r="Q307" s="3590"/>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31.15" customHeight="1">
      <c r="A309" s="3583" t="s">
        <v>5206</v>
      </c>
      <c r="B309" s="3584"/>
      <c r="C309" s="3584"/>
      <c r="D309" s="3584"/>
      <c r="E309" s="3584"/>
      <c r="F309" s="3584"/>
      <c r="G309" s="3584"/>
      <c r="H309" s="3584"/>
      <c r="I309" s="3584"/>
      <c r="J309" s="3584"/>
      <c r="K309" s="3584"/>
      <c r="L309" s="3584"/>
      <c r="M309" s="3584"/>
      <c r="N309" s="3584"/>
      <c r="O309" s="3584"/>
      <c r="P309" s="3584"/>
      <c r="Q309" s="358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6"/>
      <c r="B311" s="3587"/>
      <c r="C311" s="3587"/>
      <c r="D311" s="3587"/>
      <c r="E311" s="3587"/>
      <c r="F311" s="3587"/>
      <c r="G311" s="3587"/>
      <c r="H311" s="3587"/>
      <c r="I311" s="3587"/>
      <c r="J311" s="3587"/>
      <c r="K311" s="3587"/>
      <c r="L311" s="3587"/>
      <c r="M311" s="3587"/>
      <c r="N311" s="3587"/>
      <c r="O311" s="3587"/>
      <c r="P311" s="3587"/>
      <c r="Q311" s="358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formula1>"Agree, Disagree,N/A - 9%"</formula1>
    </dataValidation>
    <dataValidation type="list" allowBlank="1" showInputMessage="1" showErrorMessage="1" sqref="P228">
      <formula1>"Agree, Disagree, N/A - 4%"</formula1>
    </dataValidation>
    <dataValidation type="list" allowBlank="1" showInputMessage="1" showErrorMessage="1" sqref="P65:Q65">
      <formula1>"Yes, No, N/a"</formula1>
    </dataValidation>
    <dataValidation type="list" allowBlank="1" showInputMessage="1" showErrorMessage="1" sqref="H151">
      <formula1>"&lt;&lt;Select&gt;&gt;, Substantial Rehab Gutted, Substantial Rehab Non-Gutted,Historic Preservation"</formula1>
    </dataValidation>
    <dataValidation type="list" allowBlank="1" showInputMessage="1" showErrorMessage="1" sqref="M134">
      <formula1>"&lt;&lt;Select&gt;&gt;, Gazebo, Covered Porch, Other Pre-Approved"</formula1>
    </dataValidation>
    <dataValidation type="list" allowBlank="1" showInputMessage="1" showErrorMessage="1" sqref="M136">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formula1>"Yes, No"</formula1>
    </dataValidation>
    <dataValidation type="list" allowBlank="1" showInputMessage="1" showErrorMessage="1" sqref="P307 P249 P105 P197 P149 P166 P121 P130 P112 P38 P239 P62 P52 P98 P31 P225 P270 P212 P72 P159 P176 P259 P46 P89 P279 P290 P298">
      <formula1>"Conditional Pass, Pass, Fail, N/A, TBD"</formula1>
    </dataValidation>
    <dataValidation type="list" allowBlank="1" showInputMessage="1" showErrorMessage="1" sqref="P230:Q232 P168 P271:P272 P226 P281 P283">
      <formula1>"Agree, Disagree"</formula1>
    </dataValidation>
    <dataValidation type="list" allowBlank="1" showInputMessage="1" showErrorMessage="1" sqref="M133">
      <formula1>"&lt;&lt;Select&gt;&gt;, Room, Building"</formula1>
    </dataValidation>
    <dataValidation type="list" allowBlank="1" showInputMessage="1" showErrorMessage="1" sqref="O90">
      <formula1>"&lt;&lt;Select&gt;&gt;, Warranty Deed, Contract/Option, Ground lease, No site control, Other (see comments)"</formula1>
    </dataValidation>
    <dataValidation type="list" allowBlank="1" showInputMessage="1" showErrorMessage="1" sqref="L90">
      <formula1>"&lt;&lt;Select&gt;&gt;, Warranty Deed, Purchase Contract, Ground lease/Option, RFP Selection, Other (see comments)"</formula1>
    </dataValidation>
    <dataValidation type="list" allowBlank="1" showInputMessage="1" showErrorMessage="1" sqref="P9:Q9">
      <formula1>"PASS, FAIL, W/DRWN"</formula1>
    </dataValidation>
    <dataValidation type="list" allowBlank="1" showInputMessage="1" showErrorMessage="1" sqref="P242 P178">
      <formula1>"Agree,Disagree"</formula1>
    </dataValidation>
    <dataValidation type="whole" allowBlank="1" showInputMessage="1" showErrorMessage="1" sqref="P184:P186">
      <formula1>0</formula1>
      <formula2>200</formula2>
    </dataValidation>
    <dataValidation type="list" allowBlank="1" showInputMessage="1" showErrorMessage="1" sqref="O215:P215 P216 P213:P214">
      <formula1>"&lt;&lt;Select&gt;&gt;,Yes - see Comment, No, N/A - no pre-app"</formula1>
    </dataValidation>
    <dataValidation type="list" allowBlank="1" showInputMessage="1" showErrorMessage="1" sqref="F201:Q201">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dataValidation type="list" allowBlank="1" showInputMessage="1" showErrorMessage="1" sqref="C139:H142">
      <formula1>$M$437:$M$446</formula1>
    </dataValidation>
    <dataValidation type="list" allowBlank="1" showInputMessage="1" showErrorMessage="1" sqref="H202:Q202">
      <formula1>$K$419:$K$421</formula1>
    </dataValidation>
    <dataValidation type="list" allowBlank="1" showInputMessage="1" showErrorMessage="1" sqref="H169:Q169">
      <formula1>$M$449:$M$460</formula1>
    </dataValidation>
    <dataValidation type="list" allowBlank="1" showInputMessage="1" showErrorMessage="1" sqref="O217:Q217 G218:L218">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803"/>
  <sheetViews>
    <sheetView showGridLines="0" tabSelected="1" topLeftCell="A16" zoomScale="90" zoomScaleNormal="90" workbookViewId="0">
      <selection activeCell="G39" sqref="G39:J39"/>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Pateville Estates, Cordele, Crisp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2" t="s">
        <v>5018</v>
      </c>
      <c r="B3" s="3982"/>
      <c r="C3" s="3982"/>
      <c r="D3" s="3982"/>
      <c r="E3" s="3982"/>
      <c r="F3" s="3982"/>
      <c r="G3" s="3982"/>
      <c r="H3" s="3982"/>
      <c r="I3" s="3982"/>
      <c r="J3" s="3982"/>
      <c r="K3" s="3982"/>
      <c r="L3" s="3982"/>
      <c r="M3" s="2113" t="s">
        <v>4732</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71</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4751</v>
      </c>
      <c r="B10" s="3783"/>
      <c r="C10" s="3783"/>
      <c r="D10" s="3783"/>
      <c r="E10" s="3984" t="str">
        <f>IF(OR((C12-A12&gt;0),(D12-A12&gt;0)),"Points Exceed Max!","")</f>
        <v/>
      </c>
      <c r="F10" s="3985" t="s">
        <v>4715</v>
      </c>
      <c r="G10" s="3986"/>
      <c r="H10" s="3986"/>
      <c r="I10" s="3987"/>
      <c r="J10" s="3991" t="s">
        <v>4041</v>
      </c>
      <c r="K10" s="3992"/>
      <c r="L10" s="3992"/>
      <c r="M10" s="3993"/>
      <c r="O10" s="3997" t="s">
        <v>4716</v>
      </c>
      <c r="P10" s="3997"/>
      <c r="Q10" s="2134"/>
      <c r="AM10" s="2494">
        <v>10</v>
      </c>
    </row>
    <row r="11" spans="1:39" ht="13.5" customHeight="1">
      <c r="A11" s="3999" t="s">
        <v>4732</v>
      </c>
      <c r="B11" s="4000"/>
      <c r="C11" s="2135" t="s">
        <v>2880</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4403</v>
      </c>
      <c r="G12" s="3970"/>
      <c r="H12" s="3973" t="s">
        <v>4606</v>
      </c>
      <c r="I12" s="3974"/>
      <c r="J12" s="3977" t="s">
        <v>2386</v>
      </c>
      <c r="K12" s="3977"/>
      <c r="L12" s="3973" t="s">
        <v>4607</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3" t="s">
        <v>4952</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6" t="s">
        <v>4953</v>
      </c>
      <c r="D16" s="3957"/>
      <c r="E16" s="3957"/>
      <c r="F16" s="3957"/>
      <c r="G16" s="3958"/>
      <c r="H16" s="3959" t="s">
        <v>4953</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5041</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4955</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2326</v>
      </c>
      <c r="C24" s="2141" t="s">
        <v>4956</v>
      </c>
      <c r="D24" s="2145"/>
      <c r="E24" s="2145"/>
      <c r="G24" s="2108"/>
      <c r="K24" s="2147"/>
      <c r="M24" s="2111">
        <v>1</v>
      </c>
      <c r="N24" s="2152"/>
      <c r="O24" s="2003"/>
      <c r="P24" s="2156"/>
      <c r="R24" s="2108"/>
      <c r="T24" s="2140"/>
      <c r="U24" s="2140"/>
      <c r="AM24" s="2495">
        <v>24</v>
      </c>
    </row>
    <row r="25" spans="1:39" ht="15.95"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4957</v>
      </c>
      <c r="C26" s="3906"/>
      <c r="D26" s="3906"/>
      <c r="E26" s="3906"/>
      <c r="F26" s="3906"/>
      <c r="G26" s="3906"/>
      <c r="H26" s="3906"/>
      <c r="I26" s="3906"/>
      <c r="J26" s="3906"/>
      <c r="K26" s="3906"/>
      <c r="L26" s="3906"/>
      <c r="M26" s="2111"/>
      <c r="N26" s="2147"/>
      <c r="O26" s="2021" t="s">
        <v>5146</v>
      </c>
      <c r="P26" s="2160"/>
      <c r="R26" s="2146"/>
      <c r="T26" s="2140"/>
      <c r="U26" s="2140"/>
      <c r="AM26" s="2495">
        <v>26</v>
      </c>
    </row>
    <row r="27" spans="1:39" ht="15.95"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4958</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4961</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4962</v>
      </c>
      <c r="D32" s="3889"/>
      <c r="E32" s="3889"/>
      <c r="F32" s="3889"/>
      <c r="G32" s="3889"/>
      <c r="H32" s="3889"/>
      <c r="I32" s="3889"/>
      <c r="J32" s="3889"/>
      <c r="K32" s="3889"/>
      <c r="L32" s="3889"/>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4725</v>
      </c>
      <c r="D38" s="2133"/>
      <c r="E38" s="2133"/>
      <c r="J38" s="2178"/>
      <c r="M38" s="2179"/>
      <c r="O38" s="3944" t="s">
        <v>4726</v>
      </c>
      <c r="P38" s="3944" t="s">
        <v>3066</v>
      </c>
      <c r="Q38" s="2144"/>
      <c r="R38" s="2106"/>
      <c r="S38" s="2106"/>
      <c r="T38" s="2106"/>
      <c r="U38" s="2106"/>
      <c r="V38" s="2106"/>
      <c r="W38" s="2108"/>
      <c r="X38" s="2108"/>
      <c r="AM38" s="2495">
        <v>38</v>
      </c>
    </row>
    <row r="39" spans="1:39" s="2109" customFormat="1" ht="15.95" customHeight="1">
      <c r="A39" s="2132"/>
      <c r="C39" s="2109" t="s">
        <v>4587</v>
      </c>
      <c r="G39" s="3945" t="s">
        <v>5223</v>
      </c>
      <c r="H39" s="3946"/>
      <c r="I39" s="3947"/>
      <c r="J39" s="3948"/>
      <c r="K39" s="2356"/>
      <c r="M39" s="2179"/>
      <c r="O39" s="3876"/>
      <c r="P39" s="3876"/>
      <c r="Q39" s="2144"/>
      <c r="V39" s="2106"/>
      <c r="W39" s="2108"/>
      <c r="X39" s="2108"/>
      <c r="AM39" s="2494">
        <v>39</v>
      </c>
    </row>
    <row r="40" spans="1:39" s="2109" customFormat="1" ht="15.95" customHeight="1">
      <c r="A40" s="2132"/>
      <c r="C40" s="2109" t="s">
        <v>4963</v>
      </c>
      <c r="G40" s="3949" t="s">
        <v>5185</v>
      </c>
      <c r="H40" s="3950"/>
      <c r="I40" s="2180"/>
      <c r="J40" s="2181"/>
      <c r="M40" s="2179"/>
      <c r="O40" s="3876"/>
      <c r="P40" s="3876"/>
      <c r="Q40" s="2144"/>
      <c r="V40" s="2106"/>
      <c r="W40" s="2108"/>
      <c r="X40" s="2108"/>
      <c r="AM40" s="2494">
        <v>40</v>
      </c>
    </row>
    <row r="41" spans="1:39" s="2109" customFormat="1" ht="15.95" customHeight="1">
      <c r="A41" s="2132"/>
      <c r="C41" s="2109" t="s">
        <v>4586</v>
      </c>
      <c r="G41" s="3951">
        <v>5313</v>
      </c>
      <c r="H41" s="3952"/>
      <c r="I41" s="2356"/>
      <c r="M41" s="2179"/>
      <c r="O41" s="3877"/>
      <c r="P41" s="3877"/>
      <c r="Q41" s="2144"/>
      <c r="V41" s="2106"/>
      <c r="W41" s="2108"/>
      <c r="X41" s="2108"/>
      <c r="AM41" s="2494">
        <v>41</v>
      </c>
    </row>
    <row r="42" spans="1:39" ht="28.5" customHeight="1" thickBot="1">
      <c r="A42" s="2183"/>
      <c r="B42" s="2147"/>
      <c r="C42" s="3906" t="s">
        <v>4857</v>
      </c>
      <c r="D42" s="3906"/>
      <c r="E42" s="3906"/>
      <c r="F42" s="3906"/>
      <c r="G42" s="3906"/>
      <c r="H42" s="3906"/>
      <c r="I42" s="3906"/>
      <c r="J42" s="3906"/>
      <c r="K42" s="3906"/>
      <c r="L42" s="390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4474</v>
      </c>
      <c r="D44" s="2163"/>
      <c r="E44" s="2163"/>
      <c r="H44" s="2163"/>
      <c r="L44" s="2163"/>
      <c r="M44" s="2129">
        <v>2</v>
      </c>
      <c r="N44" s="2147"/>
      <c r="O44" s="2143">
        <f>IF(O45="Yes",$M44,0)</f>
        <v>0</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5146</v>
      </c>
      <c r="P45" s="2187"/>
      <c r="Q45" s="2188"/>
      <c r="R45" s="2189"/>
      <c r="S45" s="2189"/>
      <c r="T45" s="2189"/>
      <c r="U45" s="2189"/>
      <c r="AM45" s="2495">
        <v>45</v>
      </c>
    </row>
    <row r="46" spans="1:39" ht="15.95" customHeight="1" thickBot="1">
      <c r="A46" s="2112" t="s">
        <v>1838</v>
      </c>
      <c r="B46" s="2184" t="s">
        <v>4475</v>
      </c>
      <c r="D46" s="2163"/>
      <c r="L46" s="2163"/>
      <c r="M46" s="2129">
        <v>2</v>
      </c>
      <c r="N46" s="2147"/>
      <c r="O46" s="2143">
        <f>IF(AND(O47="Yes",O48="Yes"),$M46,0)</f>
        <v>2</v>
      </c>
      <c r="P46" s="2143">
        <f>IF(AND(P47="Yes",P48="Yes"),$M46,0)</f>
        <v>0</v>
      </c>
      <c r="Q46" s="2185" t="str">
        <f>IF(OR(O46=0,O46="",O46=$M46),"","Check!")</f>
        <v/>
      </c>
      <c r="R46" s="2150"/>
      <c r="S46" s="2106"/>
      <c r="T46" s="2106"/>
      <c r="U46" s="2106"/>
      <c r="V46" s="2106"/>
      <c r="AM46" s="2495">
        <v>46</v>
      </c>
    </row>
    <row r="47" spans="1:39" ht="15.95" customHeight="1">
      <c r="A47" s="2112"/>
      <c r="B47" s="2109" t="s">
        <v>4965</v>
      </c>
      <c r="D47" s="2163"/>
      <c r="L47" s="2163"/>
      <c r="M47" s="2129"/>
      <c r="N47" s="2147"/>
      <c r="O47" s="2019" t="s">
        <v>2641</v>
      </c>
      <c r="P47" s="2187"/>
      <c r="Q47" s="2185"/>
      <c r="R47" s="2150"/>
      <c r="S47" s="2106"/>
      <c r="T47" s="2106"/>
      <c r="U47" s="2106"/>
      <c r="V47" s="2106"/>
      <c r="AM47" s="2494">
        <v>47</v>
      </c>
    </row>
    <row r="48" spans="1:39" ht="28.5" customHeight="1">
      <c r="A48" s="2112"/>
      <c r="B48" s="3889" t="s">
        <v>4858</v>
      </c>
      <c r="C48" s="3889"/>
      <c r="D48" s="3889"/>
      <c r="E48" s="3889"/>
      <c r="F48" s="3889"/>
      <c r="G48" s="3889"/>
      <c r="H48" s="3889"/>
      <c r="I48" s="3889"/>
      <c r="J48" s="3889"/>
      <c r="K48" s="3889"/>
      <c r="L48" s="3889"/>
      <c r="M48" s="3889"/>
      <c r="N48" s="2147"/>
      <c r="O48" s="2103" t="s">
        <v>2641</v>
      </c>
      <c r="P48" s="2190"/>
      <c r="Q48" s="2185"/>
      <c r="R48" s="2150"/>
      <c r="S48" s="2106"/>
      <c r="T48" s="2106"/>
      <c r="U48" s="2106"/>
      <c r="V48" s="2106"/>
      <c r="AM48" s="2495">
        <v>48</v>
      </c>
    </row>
    <row r="49" spans="1:39" ht="15.95"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50.25" customHeight="1">
      <c r="A50" s="3776" t="s">
        <v>5217</v>
      </c>
      <c r="B50" s="3777"/>
      <c r="C50" s="3777"/>
      <c r="D50" s="3777"/>
      <c r="E50" s="3777"/>
      <c r="F50" s="3777"/>
      <c r="G50" s="3777"/>
      <c r="H50" s="3777"/>
      <c r="I50" s="3777"/>
      <c r="J50" s="3777"/>
      <c r="K50" s="3777"/>
      <c r="L50" s="3777"/>
      <c r="M50" s="3777"/>
      <c r="N50" s="3777"/>
      <c r="O50" s="3777"/>
      <c r="P50" s="3778"/>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5.95" customHeight="1" thickBot="1">
      <c r="A56" s="2196" t="s">
        <v>1836</v>
      </c>
      <c r="B56" s="2120" t="s">
        <v>3259</v>
      </c>
      <c r="L56" s="2146" t="str">
        <f>IF(O56&lt;=M56,"","* * Check Score! * *")</f>
        <v/>
      </c>
      <c r="M56" s="2111">
        <v>4</v>
      </c>
      <c r="N56" s="2147"/>
      <c r="O56" s="2022"/>
      <c r="P56" s="2197"/>
      <c r="Q56" s="2149" t="str">
        <f>IF(O56&lt;=M56,"","*CHECK!*")</f>
        <v/>
      </c>
      <c r="R56" s="2125"/>
      <c r="S56" s="2125"/>
      <c r="T56" s="2107"/>
      <c r="AM56" s="2495">
        <v>56</v>
      </c>
    </row>
    <row r="57" spans="1:39" ht="30.95" customHeight="1">
      <c r="A57" s="2196"/>
      <c r="B57" s="3939" t="s">
        <v>4861</v>
      </c>
      <c r="C57" s="3939"/>
      <c r="D57" s="3939"/>
      <c r="E57" s="3939"/>
      <c r="F57" s="3939"/>
      <c r="G57" s="3939"/>
      <c r="H57" s="3939"/>
      <c r="I57" s="3939"/>
      <c r="J57" s="3939"/>
      <c r="K57" s="3939"/>
      <c r="L57" s="3939"/>
      <c r="N57" s="2108"/>
      <c r="O57" s="2023"/>
      <c r="P57" s="2198"/>
      <c r="R57" s="2125"/>
      <c r="S57" s="2125"/>
      <c r="T57" s="2107"/>
      <c r="AM57" s="2494">
        <v>57</v>
      </c>
    </row>
    <row r="58" spans="1:39" ht="15.95"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3071</v>
      </c>
      <c r="I60" s="2166"/>
      <c r="J60" s="3926"/>
      <c r="K60" s="3927"/>
      <c r="L60" s="2166"/>
      <c r="M60" s="3928"/>
      <c r="N60" s="3929"/>
      <c r="O60" s="3929"/>
      <c r="P60" s="3930"/>
      <c r="AM60" s="2495">
        <v>60</v>
      </c>
    </row>
    <row r="61" spans="1:39" ht="14.1" customHeight="1">
      <c r="B61" s="2151" t="s">
        <v>2326</v>
      </c>
      <c r="C61" s="2109" t="s">
        <v>3829</v>
      </c>
      <c r="I61" s="2147"/>
      <c r="J61" s="3926"/>
      <c r="K61" s="3927"/>
      <c r="L61" s="2147"/>
      <c r="M61" s="3928"/>
      <c r="N61" s="3929"/>
      <c r="O61" s="3929"/>
      <c r="P61" s="3930"/>
      <c r="AM61" s="2495">
        <v>61</v>
      </c>
    </row>
    <row r="62" spans="1:39" ht="14.1" customHeight="1">
      <c r="B62" s="2151" t="s">
        <v>1149</v>
      </c>
      <c r="C62" s="2109" t="s">
        <v>4859</v>
      </c>
      <c r="I62" s="2147"/>
      <c r="J62" s="3926"/>
      <c r="K62" s="3927"/>
      <c r="L62" s="2147"/>
      <c r="M62" s="3928"/>
      <c r="N62" s="3929"/>
      <c r="O62" s="3929"/>
      <c r="P62" s="3930"/>
      <c r="AM62" s="2495">
        <v>62</v>
      </c>
    </row>
    <row r="63" spans="1:39" ht="14.1" customHeight="1">
      <c r="A63" s="2142"/>
      <c r="B63" s="2154" t="s">
        <v>1150</v>
      </c>
      <c r="C63" s="2109" t="s">
        <v>2987</v>
      </c>
      <c r="I63" s="2147"/>
      <c r="J63" s="3926"/>
      <c r="K63" s="3927"/>
      <c r="L63" s="2147"/>
      <c r="M63" s="3928"/>
      <c r="N63" s="3929"/>
      <c r="O63" s="3929"/>
      <c r="P63" s="3930"/>
      <c r="AM63" s="2494">
        <v>63</v>
      </c>
    </row>
    <row r="64" spans="1:39" ht="14.1" customHeight="1">
      <c r="A64" s="2147"/>
      <c r="B64" s="2151" t="s">
        <v>1737</v>
      </c>
      <c r="C64" s="2109" t="s">
        <v>2466</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4130</v>
      </c>
      <c r="I66" s="2147"/>
      <c r="J66" s="3926"/>
      <c r="K66" s="3927"/>
      <c r="L66" s="2147"/>
      <c r="M66" s="3928"/>
      <c r="N66" s="3929"/>
      <c r="O66" s="3929"/>
      <c r="P66" s="3930"/>
      <c r="R66" s="2146"/>
      <c r="AM66" s="2494">
        <v>66</v>
      </c>
    </row>
    <row r="67" spans="1:39" ht="14.1" customHeight="1">
      <c r="A67" s="2142"/>
      <c r="B67" s="2151" t="s">
        <v>3765</v>
      </c>
      <c r="C67" s="2109" t="s">
        <v>3070</v>
      </c>
      <c r="I67" s="2147"/>
      <c r="J67" s="3926"/>
      <c r="K67" s="3927"/>
      <c r="L67" s="2147"/>
      <c r="M67" s="3928"/>
      <c r="N67" s="3929"/>
      <c r="O67" s="3929"/>
      <c r="P67" s="3930"/>
      <c r="R67" s="2146"/>
      <c r="AM67" s="2494">
        <v>67</v>
      </c>
    </row>
    <row r="68" spans="1:39" ht="14.1" customHeight="1">
      <c r="B68" s="2151" t="s">
        <v>4706</v>
      </c>
      <c r="C68" s="2109" t="s">
        <v>4705</v>
      </c>
      <c r="I68" s="2147"/>
      <c r="J68" s="3926"/>
      <c r="K68" s="3927"/>
      <c r="L68" s="2147"/>
      <c r="M68" s="3928"/>
      <c r="N68" s="3929"/>
      <c r="O68" s="3929"/>
      <c r="P68" s="3930"/>
      <c r="R68" s="2146"/>
      <c r="AM68" s="2494">
        <v>68</v>
      </c>
    </row>
    <row r="69" spans="1:39" ht="14.1" customHeight="1">
      <c r="B69" s="2151" t="s">
        <v>4707</v>
      </c>
      <c r="C69" s="2109" t="s">
        <v>4727</v>
      </c>
      <c r="I69" s="2147"/>
      <c r="J69" s="3926"/>
      <c r="K69" s="3927"/>
      <c r="L69" s="2147"/>
      <c r="M69" s="3928"/>
      <c r="N69" s="3929"/>
      <c r="O69" s="3929"/>
      <c r="P69" s="3930"/>
      <c r="R69" s="2146"/>
      <c r="AM69" s="2494">
        <v>69</v>
      </c>
    </row>
    <row r="70" spans="1:39" ht="14.1" customHeight="1" thickBot="1">
      <c r="B70" s="2151" t="s">
        <v>4860</v>
      </c>
      <c r="C70" s="2109" t="s">
        <v>4728</v>
      </c>
      <c r="I70" s="2147"/>
      <c r="J70" s="3926"/>
      <c r="K70" s="3927"/>
      <c r="L70" s="2147"/>
      <c r="M70" s="3931"/>
      <c r="N70" s="3932"/>
      <c r="O70" s="3932"/>
      <c r="P70" s="3933"/>
      <c r="R70" s="2146"/>
      <c r="AM70" s="2494">
        <v>70</v>
      </c>
    </row>
    <row r="71" spans="1:39" ht="15.95" customHeight="1" thickBot="1">
      <c r="B71" s="2109"/>
      <c r="I71" s="2128" t="s">
        <v>2406</v>
      </c>
      <c r="J71" s="3918">
        <f>SUM(J59:K70)</f>
        <v>0</v>
      </c>
      <c r="K71" s="3919"/>
      <c r="M71" s="3918">
        <f>SUM($M59:$M70)</f>
        <v>0</v>
      </c>
      <c r="N71" s="3920"/>
      <c r="O71" s="3920"/>
      <c r="P71" s="3919"/>
      <c r="U71" s="3783" t="s">
        <v>4733</v>
      </c>
      <c r="V71" s="3783"/>
      <c r="W71" s="3783"/>
      <c r="X71" s="3783"/>
      <c r="Y71" s="3783"/>
      <c r="Z71" s="3783"/>
      <c r="AM71" s="2495">
        <v>71</v>
      </c>
    </row>
    <row r="72" spans="1:39" ht="15.95" customHeight="1">
      <c r="M72" s="2125"/>
      <c r="N72" s="2125"/>
      <c r="O72" s="2108"/>
      <c r="P72" s="2125"/>
      <c r="U72" s="2201" t="s">
        <v>4731</v>
      </c>
      <c r="V72" s="2201" t="s">
        <v>4732</v>
      </c>
      <c r="W72" s="2201" t="s">
        <v>4731</v>
      </c>
      <c r="X72" s="2201" t="s">
        <v>4732</v>
      </c>
      <c r="Y72" s="2201" t="s">
        <v>4731</v>
      </c>
      <c r="Z72" s="2201" t="s">
        <v>4732</v>
      </c>
      <c r="AM72" s="2495">
        <v>72</v>
      </c>
    </row>
    <row r="73" spans="1:39" ht="15.95" customHeight="1">
      <c r="A73" s="2109"/>
      <c r="B73" s="2151"/>
      <c r="C73" s="2193" t="s">
        <v>2405</v>
      </c>
      <c r="D73" s="2127"/>
      <c r="E73" s="2127"/>
      <c r="I73" s="2147" t="s">
        <v>4133</v>
      </c>
      <c r="J73" s="3910">
        <f>'Part V-Revenues &amp; Expenses'!$P$67</f>
        <v>76</v>
      </c>
      <c r="K73" s="3911"/>
      <c r="L73" s="2125"/>
      <c r="M73" s="2125"/>
      <c r="N73" s="2125"/>
      <c r="O73" s="2108"/>
      <c r="P73" s="2125"/>
      <c r="R73" s="2202" t="s">
        <v>4729</v>
      </c>
      <c r="U73" s="2203">
        <v>500000</v>
      </c>
      <c r="V73" s="2204">
        <v>999999.99</v>
      </c>
      <c r="W73" s="2203">
        <v>1000000</v>
      </c>
      <c r="X73" s="2204">
        <v>1999999.99</v>
      </c>
      <c r="Y73" s="2203">
        <v>2000000</v>
      </c>
      <c r="Z73" s="2205"/>
      <c r="AM73" s="2495">
        <v>73</v>
      </c>
    </row>
    <row r="74" spans="1:39" ht="15.95" customHeight="1">
      <c r="C74" s="2127"/>
      <c r="D74" s="2127"/>
      <c r="E74" s="2127"/>
      <c r="I74" s="2206" t="s">
        <v>4134</v>
      </c>
      <c r="J74" s="3921">
        <f>IF(J73=0,0,J71/J73)</f>
        <v>0</v>
      </c>
      <c r="K74" s="3922"/>
      <c r="M74" s="3923">
        <f>IF(J73=0,0,M71/J73)</f>
        <v>0</v>
      </c>
      <c r="N74" s="3924"/>
      <c r="O74" s="3924"/>
      <c r="P74" s="3925"/>
      <c r="R74" s="2202" t="s">
        <v>4730</v>
      </c>
      <c r="U74" s="2207">
        <v>10000</v>
      </c>
      <c r="V74" s="2208">
        <v>19999.990000000002</v>
      </c>
      <c r="W74" s="2207">
        <v>20000</v>
      </c>
      <c r="X74" s="2208">
        <v>29999.99</v>
      </c>
      <c r="Y74" s="2207">
        <v>30000</v>
      </c>
      <c r="Z74" s="2209"/>
      <c r="AM74" s="2494">
        <v>74</v>
      </c>
    </row>
    <row r="75" spans="1:39" ht="15.95" customHeight="1">
      <c r="C75" s="2127"/>
      <c r="D75" s="2127"/>
      <c r="E75" s="2127"/>
      <c r="I75" s="2142" t="s">
        <v>4708</v>
      </c>
      <c r="J75" s="3910">
        <f>IF(AND(J62+J67&gt;0,J71&gt;=$Y$73),$Y$75, IF(AND(J62+J67=0,J71&gt;=$Y$73),$Y$76, IF(AND(J62+J67&gt;0,J71&gt;=$W$73),$W$75,IF(AND(J62+J67=0,J71&gt;=$W$73),$W$76, IF(AND(J62+J67&gt;0,J71&gt;=$U$73),$U$75,IF(AND(J62+J67=0,J71&gt;=$U$73),$U$76,0))))))</f>
        <v>0</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4862</v>
      </c>
      <c r="U75" s="3913">
        <v>2</v>
      </c>
      <c r="V75" s="3914"/>
      <c r="W75" s="3913">
        <v>3</v>
      </c>
      <c r="X75" s="3914"/>
      <c r="Y75" s="3913">
        <v>4</v>
      </c>
      <c r="Z75" s="3914"/>
      <c r="AM75" s="2494">
        <v>75</v>
      </c>
    </row>
    <row r="76" spans="1:39" ht="15.95" customHeight="1">
      <c r="C76" s="2127"/>
      <c r="D76" s="2127"/>
      <c r="E76" s="2127"/>
      <c r="I76" s="2142" t="s">
        <v>4135</v>
      </c>
      <c r="J76" s="3915">
        <f>IF(AND(J62+J67&gt;0,$J$74&gt;=$Y$74),$Y$75, IF(AND(J62+J67=0,$J$74&gt;=$Y$74),$Y$76, IF(AND(J62+J67&gt;0,$J$74&gt;=$W$74),$W$75,IF(AND(J62+J67=0,$J$74&gt;=$W$74),$W$76, IF(AND(J62+J67&gt;0,$J$74&gt;=$U$74),$U$75,IF(AND(J62+J67=0,$J$74&gt;=$U$74),$U$76,0))))))</f>
        <v>0</v>
      </c>
      <c r="K76" s="3916"/>
      <c r="L76" s="2125"/>
      <c r="M76" s="3915">
        <f>IF(AND(M62+M67&gt;0,$M$74&gt;=$Y$74),$Y$75, IF(AND(M62+M67=0,$M$74&gt;=$Y$74),$Y$76, IF(AND(M62+M67&gt;0,$M$74&gt;=$W$74),$W$75,IF(AND(M62+M67=0,$M$74&gt;=$W$74),$W$76, 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4863</v>
      </c>
      <c r="U76" s="3913">
        <v>1</v>
      </c>
      <c r="V76" s="3914"/>
      <c r="W76" s="3913">
        <v>2</v>
      </c>
      <c r="X76" s="3914"/>
      <c r="Y76" s="3913">
        <v>3</v>
      </c>
      <c r="Z76" s="3914"/>
      <c r="AM76" s="2495">
        <v>76</v>
      </c>
    </row>
    <row r="77" spans="1:39" ht="15.95" customHeight="1" thickBot="1">
      <c r="AM77" s="2494">
        <v>77</v>
      </c>
    </row>
    <row r="78" spans="1:39" ht="15.95"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5" customHeight="1">
      <c r="A83" s="2109"/>
      <c r="B83" s="2131" t="s">
        <v>4847</v>
      </c>
      <c r="C83" s="2109"/>
      <c r="D83" s="2109"/>
      <c r="E83" s="2109"/>
      <c r="F83" s="2109"/>
      <c r="G83" s="2109"/>
      <c r="H83" s="2109"/>
      <c r="I83" s="2109"/>
      <c r="J83" s="2109"/>
      <c r="K83" s="2109"/>
      <c r="M83" s="2111"/>
      <c r="O83" s="2122"/>
      <c r="AM83" s="2494">
        <v>83</v>
      </c>
    </row>
    <row r="84" spans="1:39" ht="15.95" customHeight="1">
      <c r="A84" s="3776" t="s">
        <v>905</v>
      </c>
      <c r="B84" s="3777"/>
      <c r="C84" s="3777"/>
      <c r="D84" s="3777"/>
      <c r="E84" s="3777"/>
      <c r="F84" s="3777"/>
      <c r="G84" s="3777"/>
      <c r="H84" s="3777"/>
      <c r="I84" s="3777"/>
      <c r="J84" s="3777"/>
      <c r="K84" s="3777"/>
      <c r="L84" s="3777"/>
      <c r="M84" s="3777"/>
      <c r="N84" s="3777"/>
      <c r="O84" s="3777"/>
      <c r="P84" s="3778"/>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4746</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4941</v>
      </c>
      <c r="D93" s="2133"/>
      <c r="E93" s="2133"/>
      <c r="L93" s="2146"/>
      <c r="M93" s="2226"/>
      <c r="N93" s="2111"/>
      <c r="O93" s="2025"/>
      <c r="P93" s="2227"/>
      <c r="Q93" s="2144"/>
      <c r="AM93" s="2494">
        <v>93</v>
      </c>
    </row>
    <row r="94" spans="1:39" s="2109" customFormat="1" ht="15.95" customHeight="1">
      <c r="A94" s="2112"/>
      <c r="B94" s="2154" t="s">
        <v>1841</v>
      </c>
      <c r="C94" s="2109" t="s">
        <v>4942</v>
      </c>
      <c r="D94" s="2133"/>
      <c r="E94" s="2133"/>
      <c r="L94" s="2146"/>
      <c r="M94" s="2226"/>
      <c r="N94" s="2111"/>
      <c r="O94" s="2104"/>
      <c r="P94" s="2228"/>
      <c r="Q94" s="2144"/>
      <c r="AM94" s="2495">
        <v>94</v>
      </c>
    </row>
    <row r="95" spans="1:39" s="2109" customFormat="1" ht="15.95" customHeight="1">
      <c r="A95" s="2112" t="s">
        <v>1838</v>
      </c>
      <c r="B95" s="2120" t="s">
        <v>4747</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06" t="s">
        <v>5025</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5.95" customHeight="1">
      <c r="A103" s="2112"/>
      <c r="B103" s="2151" t="s">
        <v>1839</v>
      </c>
      <c r="C103" s="2109" t="s">
        <v>4871</v>
      </c>
      <c r="D103" s="2127"/>
      <c r="E103" s="2127"/>
      <c r="F103" s="2127"/>
      <c r="G103" s="2109"/>
      <c r="H103" s="2127"/>
      <c r="I103" s="2127"/>
      <c r="J103" s="3908" t="s">
        <v>4681</v>
      </c>
      <c r="K103" s="390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4872</v>
      </c>
      <c r="D104" s="2127"/>
      <c r="E104" s="2127"/>
      <c r="F104" s="2127"/>
      <c r="G104" s="2109"/>
      <c r="H104" s="2127"/>
      <c r="J104" s="2499" t="s">
        <v>4682</v>
      </c>
      <c r="K104" s="2500" t="s">
        <v>5043</v>
      </c>
      <c r="L104" s="2497"/>
      <c r="M104" s="2214">
        <v>3</v>
      </c>
      <c r="N104" s="2233"/>
      <c r="O104" s="2013"/>
      <c r="P104" s="2238"/>
      <c r="Q104" s="2149" t="str">
        <f>IF(OR($O104=$M104,$O104=0,$O104=""),"","*CHECK!*")</f>
        <v/>
      </c>
      <c r="R104" s="2150"/>
      <c r="AM104" s="2495">
        <v>104</v>
      </c>
    </row>
    <row r="105" spans="1:39">
      <c r="B105" s="2108" t="s">
        <v>5024</v>
      </c>
      <c r="H105" s="2142"/>
      <c r="J105" s="2498">
        <f>'Part V-Revenues &amp; Expenses'!P67*'Part VIII Scoring Criteria'!K105</f>
        <v>7.6000000000000005</v>
      </c>
      <c r="K105" s="2454">
        <v>0.1</v>
      </c>
      <c r="M105" s="2142" t="s">
        <v>5042</v>
      </c>
      <c r="O105" s="2001">
        <v>8</v>
      </c>
      <c r="P105" s="2241"/>
      <c r="T105" s="2140"/>
      <c r="U105" s="2140"/>
      <c r="AM105" s="2494">
        <v>105</v>
      </c>
    </row>
    <row r="106" spans="1:39" ht="41.45" customHeight="1">
      <c r="B106" s="3907" t="s">
        <v>5023</v>
      </c>
      <c r="C106" s="3907"/>
      <c r="D106" s="3907"/>
      <c r="E106" s="3907"/>
      <c r="F106" s="3907"/>
      <c r="G106" s="3907"/>
      <c r="H106" s="3907"/>
      <c r="I106" s="3907"/>
      <c r="J106" s="3907"/>
      <c r="K106" s="3907"/>
      <c r="L106" s="3907"/>
      <c r="O106" s="2016" t="s">
        <v>2641</v>
      </c>
      <c r="P106" s="2162"/>
      <c r="T106" s="2140"/>
      <c r="U106" s="2140"/>
      <c r="AM106" s="2494">
        <v>106</v>
      </c>
    </row>
    <row r="107" spans="1:39" ht="15.95" customHeight="1">
      <c r="A107" s="2112" t="s">
        <v>1838</v>
      </c>
      <c r="B107" s="2120" t="s">
        <v>4136</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c r="P110" s="2229"/>
      <c r="Q110" s="2144"/>
      <c r="R110" s="2150"/>
      <c r="AM110" s="2494">
        <v>110</v>
      </c>
    </row>
    <row r="111" spans="1:39" ht="15.95" customHeight="1">
      <c r="A111" s="2109"/>
      <c r="B111" s="2131" t="s">
        <v>4847</v>
      </c>
      <c r="C111" s="2109"/>
      <c r="D111" s="2109"/>
      <c r="E111" s="2109"/>
      <c r="F111" s="2109"/>
      <c r="G111" s="2109"/>
      <c r="H111" s="2109"/>
      <c r="I111" s="2109"/>
      <c r="J111" s="2109"/>
      <c r="K111" s="2109"/>
      <c r="M111" s="2111"/>
      <c r="O111" s="2122"/>
      <c r="AM111" s="2494">
        <v>111</v>
      </c>
    </row>
    <row r="112" spans="1:39" ht="15.95" customHeight="1">
      <c r="A112" s="3776" t="s">
        <v>5207</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4969</v>
      </c>
      <c r="F122" s="2112"/>
      <c r="I122" s="2112"/>
      <c r="J122" s="2097" t="s">
        <v>5152</v>
      </c>
      <c r="M122" s="2214"/>
      <c r="N122" s="2147"/>
      <c r="O122" s="2397" t="str">
        <f>IF($J122="Submitted", "Yes","")</f>
        <v>Yes</v>
      </c>
      <c r="P122" s="2153"/>
      <c r="Q122" s="2147"/>
      <c r="V122" s="2140"/>
      <c r="AM122" s="2494">
        <v>122</v>
      </c>
    </row>
    <row r="123" spans="1:39" s="2109" customFormat="1" ht="15.95" customHeight="1">
      <c r="A123" s="2112"/>
      <c r="B123" s="2152"/>
      <c r="C123" s="2120"/>
      <c r="D123" s="2141" t="s">
        <v>4970</v>
      </c>
      <c r="F123" s="2112"/>
      <c r="I123" s="2112"/>
      <c r="J123" s="2016" t="s">
        <v>5152</v>
      </c>
      <c r="K123" s="2147"/>
      <c r="M123" s="2214"/>
      <c r="N123" s="2147"/>
      <c r="O123" s="2398" t="str">
        <f>IF($J123="Submitted", "Yes","")</f>
        <v>Yes</v>
      </c>
      <c r="P123" s="2162"/>
      <c r="Q123" s="2147"/>
      <c r="V123" s="2140"/>
      <c r="AM123" s="2494">
        <v>123</v>
      </c>
    </row>
    <row r="124" spans="1:39" s="2109" customFormat="1" ht="15.95" customHeight="1">
      <c r="A124" s="2112"/>
      <c r="B124" s="2152"/>
      <c r="C124" s="2141" t="s">
        <v>4893</v>
      </c>
      <c r="D124" s="2120"/>
      <c r="F124" s="2112"/>
      <c r="I124" s="2112"/>
      <c r="J124" s="2018" t="s">
        <v>905</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4894</v>
      </c>
      <c r="D125" s="2120"/>
      <c r="F125" s="2112"/>
      <c r="I125" s="2112"/>
      <c r="J125" s="2018" t="s">
        <v>905</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4971</v>
      </c>
      <c r="D126" s="2120"/>
      <c r="F126" s="2112"/>
      <c r="I126" s="2112"/>
      <c r="J126" s="2018" t="s">
        <v>5152</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5013</v>
      </c>
      <c r="D127" s="2120"/>
      <c r="F127" s="2112"/>
      <c r="V127" s="2140"/>
      <c r="AM127" s="2494">
        <v>127</v>
      </c>
    </row>
    <row r="128" spans="1:39" s="2109" customFormat="1" ht="15.95" customHeight="1">
      <c r="A128" s="2112"/>
      <c r="B128" s="2154"/>
      <c r="C128" s="2141" t="s">
        <v>5014</v>
      </c>
      <c r="F128" s="2111"/>
      <c r="I128" s="2111"/>
      <c r="J128" s="2018" t="s">
        <v>5152</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5152</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4974</v>
      </c>
      <c r="F130" s="2112"/>
      <c r="I130" s="2112"/>
      <c r="J130" s="2018" t="s">
        <v>5152</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4895</v>
      </c>
      <c r="F131" s="2112"/>
      <c r="I131" s="2112"/>
      <c r="J131" s="2018" t="s">
        <v>5152</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4975</v>
      </c>
      <c r="F132" s="2112"/>
      <c r="I132" s="2112"/>
      <c r="J132" s="2018" t="s">
        <v>5152</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903" t="s">
        <v>5218</v>
      </c>
      <c r="C134" s="3904"/>
      <c r="D134" s="3904"/>
      <c r="E134" s="3904"/>
      <c r="F134" s="3904"/>
      <c r="G134" s="3904"/>
      <c r="H134" s="3904"/>
      <c r="I134" s="3904"/>
      <c r="J134" s="3904"/>
      <c r="K134" s="3904"/>
      <c r="L134" s="3904"/>
      <c r="M134" s="3904"/>
      <c r="N134" s="3904"/>
      <c r="O134" s="3904"/>
      <c r="P134" s="3905"/>
      <c r="Q134" s="2192"/>
      <c r="R134" s="2192"/>
      <c r="AM134" s="2495">
        <v>134</v>
      </c>
    </row>
    <row r="135" spans="1:39" ht="15.95" customHeight="1">
      <c r="A135" s="2109"/>
      <c r="B135" s="2131" t="s">
        <v>4847</v>
      </c>
      <c r="C135" s="2109"/>
      <c r="D135" s="2109"/>
      <c r="E135" s="2109"/>
      <c r="F135" s="2109"/>
      <c r="G135" s="2109"/>
      <c r="H135" s="2109"/>
      <c r="I135" s="2109"/>
      <c r="J135" s="2109"/>
      <c r="K135" s="2109"/>
      <c r="M135" s="2111"/>
      <c r="O135" s="2122"/>
      <c r="AM135" s="2495">
        <v>135</v>
      </c>
    </row>
    <row r="136" spans="1:39" ht="52.9" customHeight="1">
      <c r="A136" s="3776" t="s">
        <v>5216</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3689</v>
      </c>
      <c r="H144" s="2109" t="s">
        <v>3690</v>
      </c>
      <c r="I144" s="2251"/>
      <c r="K144" s="2252">
        <f>'Part V-Revenues &amp; Expenses'!$B$50</f>
        <v>57.89473684210526</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4976</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4847</v>
      </c>
      <c r="C154" s="2109"/>
      <c r="D154" s="2109"/>
      <c r="E154" s="2109"/>
      <c r="F154" s="2109"/>
      <c r="G154" s="2109"/>
      <c r="H154" s="2109"/>
      <c r="I154" s="2109"/>
      <c r="J154" s="2109"/>
      <c r="K154" s="2109"/>
      <c r="M154" s="2111"/>
      <c r="O154" s="2122"/>
      <c r="AM154" s="2495">
        <v>154</v>
      </c>
    </row>
    <row r="155" spans="1:39" ht="15.95" customHeight="1">
      <c r="A155" s="3776" t="s">
        <v>5208</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3279</v>
      </c>
      <c r="L160" s="2142" t="s">
        <v>4896</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3195</v>
      </c>
      <c r="H162" s="2147"/>
      <c r="I162" s="2106"/>
      <c r="J162" s="2106"/>
      <c r="K162" s="2226"/>
      <c r="L162" s="2106"/>
      <c r="M162" s="2111" t="s">
        <v>1163</v>
      </c>
      <c r="N162" s="2147"/>
      <c r="O162" s="2040"/>
      <c r="P162" s="2261"/>
      <c r="R162" s="2150"/>
      <c r="AM162" s="2494">
        <v>162</v>
      </c>
    </row>
    <row r="163" spans="1:39" ht="15.95" customHeight="1">
      <c r="A163" s="2109"/>
      <c r="B163" s="2131" t="s">
        <v>4847</v>
      </c>
      <c r="C163" s="2109"/>
      <c r="D163" s="2109"/>
      <c r="E163" s="2109"/>
      <c r="F163" s="2109"/>
      <c r="G163" s="2109"/>
      <c r="H163" s="2109"/>
      <c r="I163" s="2109"/>
      <c r="J163" s="2109"/>
      <c r="K163" s="2109"/>
      <c r="M163" s="2111"/>
      <c r="O163" s="2122"/>
      <c r="AM163" s="2494">
        <v>163</v>
      </c>
    </row>
    <row r="164" spans="1:39" ht="64.900000000000006" customHeight="1">
      <c r="A164" s="3776" t="s">
        <v>5209</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4896</v>
      </c>
      <c r="M169" s="2112">
        <v>6</v>
      </c>
      <c r="N169" s="2147"/>
      <c r="O169" s="2212">
        <f>IF($F$12="New Affordability",MAX(O177,O180),0)</f>
        <v>0</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3238</v>
      </c>
      <c r="F171" s="3896" t="s">
        <v>3131</v>
      </c>
      <c r="G171" s="3896"/>
      <c r="H171" s="3896"/>
      <c r="I171" s="3896"/>
      <c r="J171" s="3896" t="s">
        <v>3132</v>
      </c>
      <c r="K171" s="3896"/>
      <c r="L171" s="3896"/>
      <c r="M171" s="3896"/>
      <c r="N171" s="2147"/>
      <c r="O171" s="3897" t="s">
        <v>4696</v>
      </c>
      <c r="P171" s="3897"/>
      <c r="AM171" s="2495">
        <v>171</v>
      </c>
    </row>
    <row r="172" spans="1:39" ht="15.95" customHeight="1">
      <c r="B172" s="2264"/>
      <c r="C172" s="2265" t="s">
        <v>4697</v>
      </c>
      <c r="F172" s="3899">
        <v>31.946639000000001</v>
      </c>
      <c r="G172" s="3900"/>
      <c r="H172" s="3901"/>
      <c r="I172" s="3902"/>
      <c r="J172" s="3899">
        <v>-83.793458000000001</v>
      </c>
      <c r="K172" s="3900"/>
      <c r="L172" s="3901"/>
      <c r="M172" s="3902"/>
      <c r="N172" s="2108"/>
      <c r="O172" s="3898"/>
      <c r="P172" s="3898"/>
      <c r="AM172" s="2494">
        <v>172</v>
      </c>
    </row>
    <row r="173" spans="1:39" ht="15.95" customHeight="1">
      <c r="A173" s="2264"/>
      <c r="B173" s="2266"/>
      <c r="C173" s="2265" t="s">
        <v>4698</v>
      </c>
      <c r="F173" s="3891">
        <v>31.946639000000001</v>
      </c>
      <c r="G173" s="3892"/>
      <c r="H173" s="3893"/>
      <c r="I173" s="3894"/>
      <c r="J173" s="3891">
        <v>-83.793458000000001</v>
      </c>
      <c r="K173" s="3892"/>
      <c r="L173" s="3893"/>
      <c r="M173" s="3894"/>
      <c r="N173" s="2147"/>
      <c r="O173" s="2007">
        <v>0</v>
      </c>
      <c r="P173" s="2267"/>
      <c r="AM173" s="2495">
        <v>173</v>
      </c>
    </row>
    <row r="174" spans="1:39" ht="15.95" customHeight="1">
      <c r="A174" s="2266"/>
      <c r="B174" s="3895" t="s">
        <v>4720</v>
      </c>
      <c r="C174" s="3895"/>
      <c r="D174" s="3895"/>
      <c r="E174" s="3895"/>
      <c r="F174" s="2129" t="s">
        <v>4699</v>
      </c>
      <c r="G174" s="3809" t="s">
        <v>1667</v>
      </c>
      <c r="H174" s="3809"/>
      <c r="I174" s="3809"/>
      <c r="J174" s="3809" t="s">
        <v>4717</v>
      </c>
      <c r="K174" s="3809"/>
      <c r="L174" s="3809"/>
      <c r="M174" s="3809"/>
      <c r="N174" s="3809"/>
      <c r="O174" s="3809"/>
      <c r="P174" s="3809"/>
      <c r="AM174" s="2494">
        <v>174</v>
      </c>
    </row>
    <row r="175" spans="1:39" ht="15.95" customHeight="1">
      <c r="A175" s="2266"/>
      <c r="B175" s="3887" t="s">
        <v>5159</v>
      </c>
      <c r="C175" s="3887"/>
      <c r="D175" s="3887"/>
      <c r="E175" s="3887"/>
      <c r="F175" s="2041">
        <v>2292760370</v>
      </c>
      <c r="G175" s="3888" t="s">
        <v>5179</v>
      </c>
      <c r="H175" s="3888"/>
      <c r="I175" s="3888"/>
      <c r="J175" s="3888" t="s">
        <v>5180</v>
      </c>
      <c r="K175" s="3888"/>
      <c r="L175" s="3888"/>
      <c r="M175" s="3888"/>
      <c r="N175" s="3888"/>
      <c r="O175" s="3888"/>
      <c r="P175" s="3888"/>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5" customHeight="1">
      <c r="A178" s="2165"/>
      <c r="B178" s="2154" t="s">
        <v>1839</v>
      </c>
      <c r="C178" s="3889" t="s">
        <v>4712</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4565</v>
      </c>
      <c r="S178" s="2272">
        <v>0.25</v>
      </c>
      <c r="T178" s="2272">
        <v>5</v>
      </c>
      <c r="AM178" s="2494">
        <v>178</v>
      </c>
    </row>
    <row r="179" spans="1:39" s="2164" customFormat="1" ht="15.95"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90"/>
      <c r="S179" s="2272">
        <v>0.5</v>
      </c>
      <c r="T179" s="2272">
        <v>4.5</v>
      </c>
      <c r="AM179" s="2494">
        <v>179</v>
      </c>
    </row>
    <row r="180" spans="1:39" s="2164" customFormat="1" ht="15.95"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5.95"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90" t="s">
        <v>4566</v>
      </c>
      <c r="S181" s="2280">
        <v>0.25</v>
      </c>
      <c r="T181" s="2280">
        <v>3</v>
      </c>
      <c r="U181" s="2164"/>
      <c r="AM181" s="2495">
        <v>181</v>
      </c>
    </row>
    <row r="182" spans="1:39" ht="15.95"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90"/>
      <c r="S182" s="2272">
        <v>0.5</v>
      </c>
      <c r="T182" s="2272">
        <v>2</v>
      </c>
      <c r="U182" s="2164"/>
      <c r="AM182" s="2495">
        <v>182</v>
      </c>
    </row>
    <row r="183" spans="1:39" s="2164" customFormat="1" ht="29.25" customHeight="1">
      <c r="A183" s="2282" t="s">
        <v>1273</v>
      </c>
      <c r="B183" s="2278" t="s">
        <v>2326</v>
      </c>
      <c r="C183" s="3889" t="s">
        <v>4718</v>
      </c>
      <c r="D183" s="3889"/>
      <c r="E183" s="3889"/>
      <c r="F183" s="3889"/>
      <c r="G183" s="3889"/>
      <c r="H183" s="3889"/>
      <c r="I183" s="3889"/>
      <c r="J183" s="3889"/>
      <c r="K183" s="3889"/>
      <c r="L183" s="2146" t="str">
        <f t="shared" si="5"/>
        <v/>
      </c>
      <c r="M183" s="2165">
        <v>2</v>
      </c>
      <c r="N183" s="2217"/>
      <c r="O183" s="2042">
        <v>2</v>
      </c>
      <c r="P183" s="2283"/>
      <c r="R183" s="3890"/>
      <c r="S183" s="2277">
        <v>1</v>
      </c>
      <c r="T183" s="2277">
        <v>1</v>
      </c>
      <c r="AM183" s="2494">
        <v>183</v>
      </c>
    </row>
    <row r="184" spans="1:39" ht="15.95" customHeight="1">
      <c r="A184" s="2109"/>
      <c r="B184" s="2131" t="s">
        <v>4847</v>
      </c>
      <c r="C184" s="2109"/>
      <c r="D184" s="2109"/>
      <c r="E184" s="2109"/>
      <c r="F184" s="2109"/>
      <c r="G184" s="2109"/>
      <c r="H184" s="2109"/>
      <c r="I184" s="2109"/>
      <c r="J184" s="2109"/>
      <c r="K184" s="2109"/>
      <c r="M184" s="2111"/>
      <c r="O184" s="2122"/>
      <c r="AM184" s="2494">
        <v>184</v>
      </c>
    </row>
    <row r="185" spans="1:39" ht="33.6" customHeight="1">
      <c r="A185" s="3776" t="s">
        <v>5219</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5.95" customHeight="1" thickBot="1">
      <c r="A190" s="2132" t="s">
        <v>1602</v>
      </c>
      <c r="B190" s="2133" t="s">
        <v>4050</v>
      </c>
      <c r="C190" s="2161"/>
      <c r="D190" s="2161"/>
      <c r="E190" s="2161"/>
      <c r="G190" s="2112"/>
      <c r="H190" s="2150"/>
      <c r="L190" s="2142" t="s">
        <v>4896</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76" t="s">
        <v>4734</v>
      </c>
      <c r="G191" s="3876"/>
      <c r="H191" s="3876" t="s">
        <v>4735</v>
      </c>
      <c r="I191" s="3876"/>
      <c r="J191" s="3878" t="s">
        <v>4745</v>
      </c>
      <c r="K191" s="3879"/>
      <c r="L191" s="3884" t="s">
        <v>4721</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5.95" customHeight="1">
      <c r="B193" s="2289" t="s">
        <v>4525</v>
      </c>
      <c r="C193" s="2290"/>
      <c r="D193" s="2287"/>
      <c r="E193" s="2287"/>
      <c r="F193" s="3877"/>
      <c r="G193" s="3877"/>
      <c r="H193" s="3877"/>
      <c r="I193" s="3877"/>
      <c r="J193" s="3882"/>
      <c r="K193" s="3883"/>
      <c r="L193" s="3877"/>
      <c r="M193" s="3877"/>
      <c r="N193" s="3877"/>
      <c r="O193" s="3886"/>
      <c r="P193" s="2288"/>
      <c r="AM193" s="2495">
        <v>193</v>
      </c>
    </row>
    <row r="194" spans="1:39" ht="15.95" customHeight="1">
      <c r="B194" s="3868" t="s">
        <v>5155</v>
      </c>
      <c r="C194" s="3869"/>
      <c r="D194" s="3869"/>
      <c r="E194" s="3870"/>
      <c r="F194" s="3871" t="s">
        <v>2644</v>
      </c>
      <c r="G194" s="3872"/>
      <c r="H194" s="3871" t="s">
        <v>2644</v>
      </c>
      <c r="I194" s="3872"/>
      <c r="J194" s="3873" t="s">
        <v>2641</v>
      </c>
      <c r="K194" s="3874"/>
      <c r="L194" s="3873" t="s">
        <v>2641</v>
      </c>
      <c r="M194" s="3875"/>
      <c r="N194" s="3875"/>
      <c r="O194" s="3874"/>
      <c r="P194" s="2153"/>
      <c r="AM194" s="2494">
        <v>194</v>
      </c>
    </row>
    <row r="195" spans="1:39" ht="15.95" customHeight="1">
      <c r="B195" s="3852" t="s">
        <v>5156</v>
      </c>
      <c r="C195" s="3853"/>
      <c r="D195" s="3853"/>
      <c r="E195" s="3854"/>
      <c r="F195" s="3855" t="s">
        <v>2644</v>
      </c>
      <c r="G195" s="3856"/>
      <c r="H195" s="3855" t="s">
        <v>2644</v>
      </c>
      <c r="I195" s="3856"/>
      <c r="J195" s="3857" t="s">
        <v>2641</v>
      </c>
      <c r="K195" s="3858"/>
      <c r="L195" s="3857" t="s">
        <v>2644</v>
      </c>
      <c r="M195" s="3859"/>
      <c r="N195" s="3859"/>
      <c r="O195" s="3858"/>
      <c r="P195" s="2155"/>
      <c r="AM195" s="2494">
        <v>195</v>
      </c>
    </row>
    <row r="196" spans="1:39" ht="15.95" customHeight="1">
      <c r="B196" s="3852" t="s">
        <v>5157</v>
      </c>
      <c r="C196" s="3853"/>
      <c r="D196" s="3853"/>
      <c r="E196" s="3854"/>
      <c r="F196" s="3855" t="s">
        <v>2644</v>
      </c>
      <c r="G196" s="3856"/>
      <c r="H196" s="3855" t="s">
        <v>2641</v>
      </c>
      <c r="I196" s="3856"/>
      <c r="J196" s="3857" t="s">
        <v>2641</v>
      </c>
      <c r="K196" s="3858"/>
      <c r="L196" s="3857" t="s">
        <v>2641</v>
      </c>
      <c r="M196" s="3859"/>
      <c r="N196" s="3859"/>
      <c r="O196" s="3858"/>
      <c r="P196" s="2155"/>
      <c r="AM196" s="2494">
        <v>196</v>
      </c>
    </row>
    <row r="197" spans="1:39" ht="15.95" customHeight="1">
      <c r="B197" s="3852" t="s">
        <v>5158</v>
      </c>
      <c r="C197" s="3853"/>
      <c r="D197" s="3853"/>
      <c r="E197" s="3854"/>
      <c r="F197" s="3855" t="s">
        <v>2644</v>
      </c>
      <c r="G197" s="3856"/>
      <c r="H197" s="3855" t="s">
        <v>2644</v>
      </c>
      <c r="I197" s="3856"/>
      <c r="J197" s="3857" t="s">
        <v>2641</v>
      </c>
      <c r="K197" s="3858"/>
      <c r="L197" s="3857" t="s">
        <v>2641</v>
      </c>
      <c r="M197" s="3859"/>
      <c r="N197" s="3859"/>
      <c r="O197" s="3858"/>
      <c r="P197" s="2155"/>
      <c r="AM197" s="2494">
        <v>197</v>
      </c>
    </row>
    <row r="198" spans="1:39" ht="15.95" customHeight="1">
      <c r="B198" s="3852"/>
      <c r="C198" s="3853"/>
      <c r="D198" s="3853"/>
      <c r="E198" s="3854"/>
      <c r="F198" s="3855"/>
      <c r="G198" s="3856"/>
      <c r="H198" s="3855"/>
      <c r="I198" s="3856"/>
      <c r="J198" s="3857"/>
      <c r="K198" s="3858"/>
      <c r="L198" s="3857"/>
      <c r="M198" s="3859"/>
      <c r="N198" s="3859"/>
      <c r="O198" s="3858"/>
      <c r="P198" s="2155"/>
      <c r="AM198" s="2495">
        <v>198</v>
      </c>
    </row>
    <row r="199" spans="1:39" ht="15.95" customHeight="1">
      <c r="B199" s="3860"/>
      <c r="C199" s="3861"/>
      <c r="D199" s="3861"/>
      <c r="E199" s="3862"/>
      <c r="F199" s="3863"/>
      <c r="G199" s="3864"/>
      <c r="H199" s="3863"/>
      <c r="I199" s="3864"/>
      <c r="J199" s="3865"/>
      <c r="K199" s="3866"/>
      <c r="L199" s="3865"/>
      <c r="M199" s="3867"/>
      <c r="N199" s="3867"/>
      <c r="O199" s="3866"/>
      <c r="P199" s="2156"/>
      <c r="AM199" s="2495">
        <v>199</v>
      </c>
    </row>
    <row r="200" spans="1:39" ht="15.95" customHeight="1">
      <c r="A200" s="2109"/>
      <c r="B200" s="2131" t="s">
        <v>4847</v>
      </c>
      <c r="C200" s="2109"/>
      <c r="D200" s="2109"/>
      <c r="E200" s="2109"/>
      <c r="F200" s="2109"/>
      <c r="G200" s="2109"/>
      <c r="H200" s="2109"/>
      <c r="I200" s="2109"/>
      <c r="J200" s="2109"/>
      <c r="K200" s="2109"/>
      <c r="M200" s="2111"/>
      <c r="O200" s="2122"/>
      <c r="AM200" s="2495">
        <v>200</v>
      </c>
    </row>
    <row r="201" spans="1:39" ht="67.5" customHeight="1">
      <c r="A201" s="3776" t="s">
        <v>5160</v>
      </c>
      <c r="B201" s="3777"/>
      <c r="C201" s="3777"/>
      <c r="D201" s="3777"/>
      <c r="E201" s="3777"/>
      <c r="F201" s="3777"/>
      <c r="G201" s="3777"/>
      <c r="H201" s="3777"/>
      <c r="I201" s="3777"/>
      <c r="J201" s="3777"/>
      <c r="K201" s="3777"/>
      <c r="L201" s="3777"/>
      <c r="M201" s="3777"/>
      <c r="N201" s="3777"/>
      <c r="O201" s="3777"/>
      <c r="P201" s="3778"/>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&lt;&lt; Select Scoring Track &gt;&gt;</v>
      </c>
      <c r="AM206" s="2494">
        <v>206</v>
      </c>
    </row>
    <row r="207" spans="1:39" s="2109" customFormat="1" ht="15.95"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4897</v>
      </c>
      <c r="D209" s="2164"/>
      <c r="E209" s="2164"/>
      <c r="F209" s="2164"/>
      <c r="G209" s="2164"/>
      <c r="H209" s="2164"/>
      <c r="I209" s="2164"/>
      <c r="J209" s="2164"/>
      <c r="K209" s="2164"/>
      <c r="L209" s="2166"/>
      <c r="N209" s="3843" t="s">
        <v>4702</v>
      </c>
      <c r="O209" s="3844"/>
      <c r="P209" s="3845"/>
      <c r="S209" s="2106"/>
      <c r="T209" s="2106"/>
      <c r="U209" s="2106"/>
      <c r="AM209" s="2495">
        <v>209</v>
      </c>
    </row>
    <row r="210" spans="1:39" s="2109" customFormat="1" ht="15.95" customHeight="1">
      <c r="A210" s="2111"/>
      <c r="B210" s="2147"/>
      <c r="C210" s="2109" t="s">
        <v>4703</v>
      </c>
      <c r="L210" s="2147"/>
      <c r="N210" s="3846" t="s">
        <v>4702</v>
      </c>
      <c r="O210" s="3847"/>
      <c r="P210" s="3848"/>
      <c r="S210" s="2106"/>
      <c r="T210" s="2106"/>
      <c r="U210" s="2106"/>
      <c r="AM210" s="2495">
        <v>210</v>
      </c>
    </row>
    <row r="211" spans="1:39" s="2109" customFormat="1" ht="15.95" customHeight="1">
      <c r="A211" s="2111"/>
      <c r="B211" s="2147"/>
      <c r="C211" s="2109" t="s">
        <v>4898</v>
      </c>
      <c r="L211" s="2147"/>
      <c r="N211" s="3849" t="s">
        <v>4702</v>
      </c>
      <c r="O211" s="3850"/>
      <c r="P211" s="3851"/>
      <c r="Q211" s="2012"/>
      <c r="S211" s="2106"/>
      <c r="T211" s="2106"/>
      <c r="U211" s="2106"/>
      <c r="V211" s="2012"/>
      <c r="AM211" s="2495">
        <v>211</v>
      </c>
    </row>
    <row r="212" spans="1:39" s="2109" customFormat="1" ht="15.95"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5"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5" customHeight="1">
      <c r="B225" s="2152" t="s">
        <v>1958</v>
      </c>
      <c r="C225" s="2108" t="s">
        <v>4980</v>
      </c>
      <c r="L225" s="2146" t="str">
        <f>IF(OR($O225=$M225,$O225=0,$O225=""),"","* * Check Score! * *")</f>
        <v/>
      </c>
      <c r="M225" s="2129">
        <v>1</v>
      </c>
      <c r="O225" s="2013"/>
      <c r="P225" s="2238"/>
      <c r="AM225" s="2494">
        <v>225</v>
      </c>
    </row>
    <row r="226" spans="1:39" ht="15.95" customHeight="1">
      <c r="B226" s="2152" t="s">
        <v>1959</v>
      </c>
      <c r="C226" s="2108" t="s">
        <v>4907</v>
      </c>
      <c r="L226" s="2146" t="str">
        <f t="shared" ref="L226" si="8">IF(OR($O226=$M226,$O226=0,$O226=""),"","* * Check Score! * *")</f>
        <v/>
      </c>
      <c r="M226" s="2129">
        <v>1</v>
      </c>
      <c r="O226" s="2001"/>
      <c r="P226" s="2241"/>
      <c r="AM226" s="2495">
        <v>226</v>
      </c>
    </row>
    <row r="227" spans="1:39" ht="15.95" customHeight="1">
      <c r="B227" s="2152" t="s">
        <v>1608</v>
      </c>
      <c r="C227" s="2108" t="s">
        <v>4981</v>
      </c>
      <c r="L227" s="2146"/>
      <c r="M227" s="2129">
        <v>1</v>
      </c>
      <c r="O227" s="2002"/>
      <c r="P227" s="2239"/>
      <c r="AM227" s="2494">
        <v>227</v>
      </c>
    </row>
    <row r="228" spans="1:39" ht="15.95"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5"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5"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4847</v>
      </c>
      <c r="L232" s="2108"/>
      <c r="M232" s="2111"/>
      <c r="N232" s="2129"/>
      <c r="O232" s="2122"/>
      <c r="P232" s="2121"/>
      <c r="AM232" s="2494">
        <v>232</v>
      </c>
    </row>
    <row r="233" spans="1:39" ht="15.95" customHeight="1">
      <c r="A233" s="3776" t="s">
        <v>905</v>
      </c>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Yes</v>
      </c>
      <c r="K238" s="2177" t="str">
        <f>IF(OR($O$206&gt;0,$O$265&gt;0,$O$303&gt;0),"Points already claimed in another restricted section!","")</f>
        <v/>
      </c>
      <c r="L238" s="2146" t="str">
        <f>IF(OR($O238=$M238,$O238=0,$O238=""),"",IF(OR($O238&lt;$J$251,$O238&gt;$J$251),"* * Check Score! * *",""))</f>
        <v/>
      </c>
      <c r="M238" s="2112">
        <v>10</v>
      </c>
      <c r="N238" s="2111"/>
      <c r="O238" s="2143">
        <f>IF($C$16="Stable Communities",J251,0)</f>
        <v>0</v>
      </c>
      <c r="P238" s="2143">
        <f>IF($H$16="Stable Communities",K251,0)</f>
        <v>0</v>
      </c>
      <c r="Q238" s="2144" t="s">
        <v>415</v>
      </c>
      <c r="R238" s="2444" t="s">
        <v>4999</v>
      </c>
      <c r="S238" s="2106"/>
      <c r="T238" s="2106"/>
      <c r="U238" s="2106"/>
      <c r="V238" s="2445" t="str">
        <f>$C$16</f>
        <v>&lt;&lt; Select Scoring Track &gt;&gt;</v>
      </c>
      <c r="W238" s="2108"/>
      <c r="X238" s="2108"/>
      <c r="AM238" s="2495">
        <v>238</v>
      </c>
    </row>
    <row r="239" spans="1:39" s="2109" customFormat="1" ht="15.95" customHeight="1">
      <c r="A239" s="2132"/>
      <c r="B239" s="2133"/>
      <c r="D239" s="2133"/>
      <c r="E239" s="2133"/>
      <c r="F239" s="2141" t="s">
        <v>5040</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4915</v>
      </c>
      <c r="D241" s="2409"/>
      <c r="E241" s="2409"/>
      <c r="G241" s="3831" t="s">
        <v>4913</v>
      </c>
      <c r="H241" s="3832"/>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4723</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4982</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4984</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836" t="s">
        <v>4986</v>
      </c>
      <c r="F253" s="3836"/>
      <c r="G253" s="3836"/>
      <c r="H253" s="2404" t="s">
        <v>4724</v>
      </c>
      <c r="I253" s="3837" t="s">
        <v>4987</v>
      </c>
      <c r="J253" s="3837"/>
      <c r="K253" s="3837"/>
      <c r="L253" s="3837"/>
      <c r="M253" s="3837"/>
      <c r="N253" s="3837"/>
      <c r="O253" s="3837"/>
      <c r="P253" s="3837"/>
      <c r="R253" s="2150"/>
      <c r="S253" s="2106"/>
      <c r="T253" s="2106"/>
      <c r="U253" s="2106"/>
      <c r="V253" s="2108"/>
      <c r="W253" s="2108"/>
      <c r="X253" s="2108"/>
      <c r="AM253" s="2495">
        <v>253</v>
      </c>
    </row>
    <row r="254" spans="1:39" s="2109" customFormat="1" ht="15.95" customHeight="1">
      <c r="A254" s="2132"/>
      <c r="B254" s="2109" t="s">
        <v>4988</v>
      </c>
      <c r="C254" s="2108"/>
      <c r="D254" s="2403"/>
      <c r="E254" s="3838"/>
      <c r="F254" s="3839"/>
      <c r="G254" s="2447"/>
      <c r="H254" s="2405"/>
      <c r="I254" s="3838"/>
      <c r="J254" s="3839"/>
      <c r="K254" s="3840"/>
      <c r="L254" s="3841"/>
      <c r="M254" s="3838" t="s">
        <v>4989</v>
      </c>
      <c r="N254" s="3842"/>
      <c r="O254" s="3842"/>
      <c r="P254" s="3839"/>
      <c r="R254" s="2150"/>
      <c r="S254" s="2106"/>
      <c r="T254" s="2106"/>
      <c r="U254" s="2106"/>
      <c r="V254" s="2108"/>
      <c r="W254" s="2108"/>
      <c r="X254" s="2108"/>
      <c r="AM254" s="2495">
        <v>254</v>
      </c>
    </row>
    <row r="255" spans="1:39" s="2109" customFormat="1" ht="15.95" customHeight="1">
      <c r="A255" s="2132"/>
      <c r="B255" s="2109" t="s">
        <v>4990</v>
      </c>
      <c r="C255" s="2108"/>
      <c r="D255" s="2403"/>
      <c r="E255" s="3821"/>
      <c r="F255" s="3822"/>
      <c r="G255" s="2448"/>
      <c r="H255" s="2406"/>
      <c r="I255" s="3821"/>
      <c r="J255" s="3822"/>
      <c r="K255" s="3823"/>
      <c r="L255" s="3824"/>
      <c r="M255" s="3821" t="s">
        <v>4989</v>
      </c>
      <c r="N255" s="3825"/>
      <c r="O255" s="3825"/>
      <c r="P255" s="3822"/>
      <c r="R255" s="2150"/>
      <c r="S255" s="2106"/>
      <c r="T255" s="2106"/>
      <c r="U255" s="2106"/>
      <c r="V255" s="2108"/>
      <c r="W255" s="2108"/>
      <c r="X255" s="2108"/>
      <c r="AM255" s="2494">
        <v>255</v>
      </c>
    </row>
    <row r="256" spans="1:39" s="2109" customFormat="1" ht="15.95" customHeight="1">
      <c r="A256" s="2132"/>
      <c r="B256" s="2109" t="s">
        <v>4991</v>
      </c>
      <c r="C256" s="2108"/>
      <c r="D256" s="2403"/>
      <c r="E256" s="3821"/>
      <c r="F256" s="3822"/>
      <c r="G256" s="2448"/>
      <c r="H256" s="2406"/>
      <c r="I256" s="3821"/>
      <c r="J256" s="3822"/>
      <c r="K256" s="3823"/>
      <c r="L256" s="3824"/>
      <c r="M256" s="3821" t="s">
        <v>4989</v>
      </c>
      <c r="N256" s="3825"/>
      <c r="O256" s="3825"/>
      <c r="P256" s="3822"/>
      <c r="R256" s="2150"/>
      <c r="S256" s="2106"/>
      <c r="T256" s="2106"/>
      <c r="U256" s="2106"/>
      <c r="V256" s="2108"/>
      <c r="W256" s="2108"/>
      <c r="X256" s="2108"/>
      <c r="AM256" s="2495">
        <v>256</v>
      </c>
    </row>
    <row r="257" spans="1:39" s="2109" customFormat="1" ht="15.95" customHeight="1">
      <c r="A257" s="2132"/>
      <c r="B257" s="2109" t="s">
        <v>4992</v>
      </c>
      <c r="C257" s="2133"/>
      <c r="D257" s="2133"/>
      <c r="E257" s="3821"/>
      <c r="F257" s="3822"/>
      <c r="G257" s="2448"/>
      <c r="H257" s="2451"/>
      <c r="I257" s="3821"/>
      <c r="J257" s="3822"/>
      <c r="K257" s="3823"/>
      <c r="L257" s="3824"/>
      <c r="M257" s="3821" t="s">
        <v>4989</v>
      </c>
      <c r="N257" s="3825"/>
      <c r="O257" s="3825"/>
      <c r="P257" s="3822"/>
      <c r="R257" s="2150"/>
      <c r="S257" s="2106"/>
      <c r="T257" s="2106"/>
      <c r="U257" s="2106"/>
      <c r="V257" s="2108"/>
      <c r="W257" s="2108"/>
      <c r="X257" s="2108"/>
      <c r="AM257" s="2494">
        <v>257</v>
      </c>
    </row>
    <row r="258" spans="1:39" s="2109" customFormat="1" ht="15.95" customHeight="1">
      <c r="A258" s="2132"/>
      <c r="B258" s="2109" t="s">
        <v>4113</v>
      </c>
      <c r="C258" s="2133"/>
      <c r="D258" s="2133"/>
      <c r="E258" s="3826"/>
      <c r="F258" s="3827"/>
      <c r="G258" s="2449"/>
      <c r="H258" s="2452"/>
      <c r="I258" s="3826"/>
      <c r="J258" s="3827"/>
      <c r="K258" s="3828"/>
      <c r="L258" s="3829"/>
      <c r="M258" s="3826" t="s">
        <v>4989</v>
      </c>
      <c r="N258" s="3830"/>
      <c r="O258" s="3830"/>
      <c r="P258" s="3827"/>
      <c r="R258" s="2150"/>
      <c r="S258" s="2106"/>
      <c r="T258" s="2106"/>
      <c r="U258" s="2106"/>
      <c r="V258" s="2108"/>
      <c r="W258" s="2108"/>
      <c r="X258" s="2108"/>
      <c r="AM258" s="2494">
        <v>258</v>
      </c>
    </row>
    <row r="259" spans="1:39" ht="15.95" customHeight="1">
      <c r="A259" s="2109"/>
      <c r="B259" s="2131" t="s">
        <v>4847</v>
      </c>
      <c r="C259" s="2109"/>
      <c r="D259" s="2109"/>
      <c r="E259" s="2109"/>
      <c r="F259" s="2109"/>
      <c r="G259" s="2109"/>
      <c r="H259" s="2109"/>
      <c r="I259" s="2109"/>
      <c r="J259" s="2109"/>
      <c r="K259" s="2109"/>
      <c r="M259" s="2111"/>
      <c r="O259" s="2122"/>
      <c r="AM259" s="2494">
        <v>259</v>
      </c>
    </row>
    <row r="260" spans="1:39" ht="15.95" customHeight="1">
      <c r="A260" s="3776" t="s">
        <v>905</v>
      </c>
      <c r="B260" s="3777"/>
      <c r="C260" s="3777"/>
      <c r="D260" s="3777"/>
      <c r="E260" s="3777"/>
      <c r="F260" s="3777"/>
      <c r="G260" s="3777"/>
      <c r="H260" s="3777"/>
      <c r="I260" s="3777"/>
      <c r="J260" s="3777"/>
      <c r="K260" s="3777"/>
      <c r="L260" s="3777"/>
      <c r="M260" s="3777"/>
      <c r="N260" s="3777"/>
      <c r="O260" s="3777"/>
      <c r="P260" s="3778"/>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5.95" customHeight="1" thickBot="1">
      <c r="A265" s="2132" t="s">
        <v>3281</v>
      </c>
      <c r="B265" s="2133" t="s">
        <v>3253</v>
      </c>
      <c r="D265" s="2133"/>
      <c r="E265" s="2133"/>
      <c r="G265" s="2176"/>
      <c r="J265" s="2177" t="str">
        <f>IF(OR($O$206&gt;0,$O$238&gt;0,$O$303&gt;0),"Points already claimed in another restricted section!","")</f>
        <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&lt;&lt; Select Scoring Track &gt;&gt;</v>
      </c>
      <c r="AM265" s="2494">
        <v>265</v>
      </c>
    </row>
    <row r="266" spans="1:39" ht="15.95" customHeight="1">
      <c r="A266" s="2112" t="s">
        <v>1836</v>
      </c>
      <c r="B266" s="2184" t="s">
        <v>3178</v>
      </c>
      <c r="D266" s="2163"/>
      <c r="E266" s="2163"/>
      <c r="F266" s="2163"/>
      <c r="G266" s="2163"/>
      <c r="H266" s="2163"/>
      <c r="L266" s="2163"/>
      <c r="M266" s="3819"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3179</v>
      </c>
      <c r="D267" s="2163"/>
      <c r="L267" s="2163"/>
      <c r="M267" s="3819"/>
      <c r="N267" s="2147"/>
      <c r="O267" s="2003"/>
      <c r="P267" s="2156"/>
      <c r="Q267" s="2017"/>
      <c r="R267" s="2106"/>
      <c r="S267" s="2106"/>
      <c r="T267" s="2106"/>
      <c r="U267" s="2106"/>
      <c r="V267" s="2106"/>
      <c r="AM267" s="2494">
        <v>267</v>
      </c>
    </row>
    <row r="268" spans="1:39" ht="15.95"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6" t="s">
        <v>905</v>
      </c>
      <c r="B269" s="3777"/>
      <c r="C269" s="3777"/>
      <c r="D269" s="3777"/>
      <c r="E269" s="3777"/>
      <c r="F269" s="3777"/>
      <c r="G269" s="3777"/>
      <c r="H269" s="3777"/>
      <c r="I269" s="3777"/>
      <c r="J269" s="3777"/>
      <c r="K269" s="3777"/>
      <c r="L269" s="3777"/>
      <c r="M269" s="3777"/>
      <c r="N269" s="3777"/>
      <c r="O269" s="3777"/>
      <c r="P269" s="3778"/>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5.95" customHeight="1" thickBot="1">
      <c r="A274" s="2132" t="s">
        <v>3282</v>
      </c>
      <c r="B274" s="2133" t="s">
        <v>3908</v>
      </c>
      <c r="E274" s="2150" t="str">
        <f>IF(AND(O274&gt;0,NOT($F$12="New Affordability"),NOT($O$12="9%")), "Ineligible, not New Affordability and 9%!","")</f>
        <v/>
      </c>
      <c r="G274" s="2287" t="str">
        <f>$O$12</f>
        <v>9%</v>
      </c>
      <c r="H274" s="2210" t="str">
        <f>$J$12</f>
        <v>Rural</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4154</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4704</v>
      </c>
      <c r="H276" s="3783" t="s">
        <v>573</v>
      </c>
      <c r="I276" s="3783"/>
      <c r="J276" s="3783"/>
      <c r="K276" s="3820" t="s">
        <v>4742</v>
      </c>
      <c r="L276" s="3820"/>
      <c r="M276" s="3820"/>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4155</v>
      </c>
      <c r="G277" s="2019"/>
      <c r="H277" s="3811"/>
      <c r="I277" s="3812"/>
      <c r="J277" s="3813"/>
      <c r="K277" s="3814"/>
      <c r="L277" s="3814"/>
      <c r="M277" s="3814"/>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4156</v>
      </c>
      <c r="G278" s="2020"/>
      <c r="H278" s="3815"/>
      <c r="I278" s="3816"/>
      <c r="J278" s="3817"/>
      <c r="K278" s="3818"/>
      <c r="L278" s="3818"/>
      <c r="M278" s="3818"/>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4847</v>
      </c>
      <c r="C280" s="2109"/>
      <c r="D280" s="2109"/>
      <c r="E280" s="2109"/>
      <c r="F280" s="2109"/>
      <c r="G280" s="2109"/>
      <c r="H280" s="2109"/>
      <c r="I280" s="2109"/>
      <c r="J280" s="2109"/>
      <c r="K280" s="2109"/>
      <c r="M280" s="2111"/>
      <c r="O280" s="2122"/>
      <c r="AM280" s="2494">
        <v>280</v>
      </c>
    </row>
    <row r="281" spans="1:39" ht="15.95" customHeight="1">
      <c r="A281" s="3776" t="s">
        <v>905</v>
      </c>
      <c r="B281" s="3777"/>
      <c r="C281" s="3777"/>
      <c r="D281" s="3777"/>
      <c r="E281" s="3777"/>
      <c r="F281" s="3777"/>
      <c r="G281" s="3777"/>
      <c r="H281" s="3777"/>
      <c r="I281" s="3777"/>
      <c r="J281" s="3777"/>
      <c r="K281" s="3777"/>
      <c r="L281" s="3777"/>
      <c r="M281" s="3777"/>
      <c r="N281" s="3777"/>
      <c r="O281" s="3777"/>
      <c r="P281" s="3778"/>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5.95"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5"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5" customHeight="1">
      <c r="A291" s="2112" t="s">
        <v>1838</v>
      </c>
      <c r="B291" s="2120" t="s">
        <v>4920</v>
      </c>
      <c r="L291" s="2211" t="s">
        <v>4896</v>
      </c>
      <c r="M291" s="2111">
        <v>3</v>
      </c>
      <c r="N291" s="2147"/>
      <c r="O291" s="2011"/>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5"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5.95" customHeight="1">
      <c r="A297" s="2109"/>
      <c r="B297" s="2131" t="s">
        <v>4847</v>
      </c>
      <c r="C297" s="2109"/>
      <c r="D297" s="2109"/>
      <c r="E297" s="2109"/>
      <c r="F297" s="2109"/>
      <c r="G297" s="2109"/>
      <c r="H297" s="2109"/>
      <c r="I297" s="2109"/>
      <c r="J297" s="2109"/>
      <c r="K297" s="2109"/>
      <c r="M297" s="2111"/>
      <c r="O297" s="2122"/>
      <c r="AM297" s="2494">
        <v>297</v>
      </c>
    </row>
    <row r="298" spans="1:39" ht="15.95" customHeight="1">
      <c r="A298" s="3776" t="s">
        <v>905</v>
      </c>
      <c r="B298" s="3777"/>
      <c r="C298" s="3777"/>
      <c r="D298" s="3777"/>
      <c r="E298" s="3777"/>
      <c r="F298" s="3777"/>
      <c r="G298" s="3777"/>
      <c r="H298" s="3777"/>
      <c r="I298" s="3777"/>
      <c r="J298" s="3777"/>
      <c r="K298" s="3777"/>
      <c r="L298" s="3777"/>
      <c r="M298" s="3777"/>
      <c r="N298" s="3777"/>
      <c r="O298" s="3777"/>
      <c r="P298" s="3778"/>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5.95" customHeight="1" thickBot="1">
      <c r="A303" s="2132" t="s">
        <v>3283</v>
      </c>
      <c r="B303" s="2133" t="s">
        <v>4850</v>
      </c>
      <c r="D303" s="2133"/>
      <c r="E303" s="2133"/>
      <c r="G303" s="2176"/>
      <c r="J303" s="2177" t="str">
        <f>IF(OR($O$206&gt;0,$O$238&gt;0,$O$265&gt;0),"Points already claimed in another restricted section!","")</f>
        <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4999</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3306</v>
      </c>
      <c r="E306" s="2133"/>
      <c r="J306" s="2305">
        <f>MAX(O206,O212+O222+O229)</f>
        <v>0</v>
      </c>
      <c r="K306" s="2306">
        <f>MAX(P206,P212+P222+P229)</f>
        <v>0</v>
      </c>
      <c r="L306" s="2307"/>
      <c r="M306" s="3808" t="str">
        <f>$J$12</f>
        <v>Rural</v>
      </c>
      <c r="N306" s="3809"/>
      <c r="O306" s="3809"/>
      <c r="P306" s="3809"/>
      <c r="Q306" s="2144"/>
      <c r="R306" s="2150"/>
      <c r="S306" s="2106"/>
      <c r="T306" s="2106"/>
      <c r="U306" s="2106"/>
      <c r="V306" s="2108"/>
      <c r="W306" s="2108"/>
      <c r="X306" s="2108"/>
      <c r="AM306" s="2494">
        <v>306</v>
      </c>
    </row>
    <row r="307" spans="1:48" s="2109" customFormat="1" ht="15.95" customHeight="1">
      <c r="A307" s="2132"/>
      <c r="B307" s="2133"/>
      <c r="C307" s="2304"/>
      <c r="D307" s="2109" t="s">
        <v>3910</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4924</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6" t="s">
        <v>905</v>
      </c>
      <c r="B312" s="3777"/>
      <c r="C312" s="3777"/>
      <c r="D312" s="3777"/>
      <c r="E312" s="3777"/>
      <c r="F312" s="3777"/>
      <c r="G312" s="3777"/>
      <c r="H312" s="3777"/>
      <c r="I312" s="3777"/>
      <c r="J312" s="3777"/>
      <c r="K312" s="3777"/>
      <c r="L312" s="3777"/>
      <c r="M312" s="3777"/>
      <c r="N312" s="3777"/>
      <c r="O312" s="3777"/>
      <c r="P312" s="3778"/>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3284</v>
      </c>
      <c r="B317" s="2133" t="s">
        <v>4851</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4933</v>
      </c>
      <c r="D319" s="2133"/>
      <c r="E319" s="2133"/>
      <c r="L319" s="3810" t="s">
        <v>4935</v>
      </c>
      <c r="M319" s="3810"/>
      <c r="O319" s="3810" t="s">
        <v>4936</v>
      </c>
      <c r="P319" s="3810"/>
      <c r="Q319" s="2144"/>
      <c r="R319" s="2106"/>
      <c r="S319" s="2106"/>
      <c r="T319" s="2106"/>
      <c r="U319" s="2106"/>
      <c r="V319" s="2106"/>
      <c r="W319" s="2108"/>
      <c r="X319" s="2108"/>
      <c r="AM319" s="2495">
        <v>319</v>
      </c>
    </row>
    <row r="320" spans="1:48" s="2109" customFormat="1" ht="15.95" customHeight="1">
      <c r="A320" s="2132"/>
      <c r="C320" s="2109" t="s">
        <v>4934</v>
      </c>
      <c r="D320" s="2133"/>
      <c r="E320" s="2133"/>
      <c r="F320" s="2109" t="s">
        <v>4120</v>
      </c>
      <c r="I320" s="2109" t="s">
        <v>574</v>
      </c>
      <c r="K320" s="2111" t="s">
        <v>4744</v>
      </c>
      <c r="L320" s="3810"/>
      <c r="M320" s="3810"/>
      <c r="O320" s="3810"/>
      <c r="P320" s="3810"/>
      <c r="Q320" s="2144"/>
      <c r="R320" s="2106"/>
      <c r="S320" s="2106"/>
      <c r="T320" s="2106"/>
      <c r="U320" s="2106"/>
      <c r="V320" s="2106"/>
      <c r="W320" s="2108"/>
      <c r="X320" s="2108"/>
      <c r="AM320" s="2494">
        <v>320</v>
      </c>
      <c r="AV320" s="2304"/>
    </row>
    <row r="321" spans="1:39" s="2109" customFormat="1" ht="15.95" customHeight="1">
      <c r="A321" s="2132"/>
      <c r="B321" s="2292" t="s">
        <v>1839</v>
      </c>
      <c r="C321" s="3804"/>
      <c r="D321" s="3804"/>
      <c r="E321" s="3804"/>
      <c r="F321" s="3804"/>
      <c r="G321" s="3804"/>
      <c r="H321" s="3804"/>
      <c r="I321" s="3805"/>
      <c r="J321" s="3805"/>
      <c r="K321" s="2385"/>
      <c r="L321" s="3806"/>
      <c r="M321" s="3806"/>
      <c r="N321" s="2289"/>
      <c r="O321" s="3807"/>
      <c r="P321" s="3807"/>
      <c r="Q321" s="2144"/>
      <c r="R321" s="2106"/>
      <c r="S321" s="2106"/>
      <c r="T321" s="2106"/>
      <c r="U321" s="2106"/>
      <c r="V321" s="2106"/>
      <c r="W321" s="2108"/>
      <c r="X321" s="2108"/>
      <c r="AM321" s="2495">
        <v>321</v>
      </c>
    </row>
    <row r="322" spans="1:39" s="2109" customFormat="1" ht="15.95"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5.95"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5.95"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5.95"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6" t="s">
        <v>905</v>
      </c>
      <c r="B326" s="3777"/>
      <c r="C326" s="3777"/>
      <c r="D326" s="3777"/>
      <c r="E326" s="3777"/>
      <c r="F326" s="3777"/>
      <c r="G326" s="3777"/>
      <c r="H326" s="3777"/>
      <c r="I326" s="3777"/>
      <c r="J326" s="3777"/>
      <c r="K326" s="3777"/>
      <c r="L326" s="3777"/>
      <c r="M326" s="3777"/>
      <c r="N326" s="3777"/>
      <c r="O326" s="3777"/>
      <c r="P326" s="3778"/>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3287</v>
      </c>
      <c r="B331" s="2223" t="s">
        <v>3906</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3689</v>
      </c>
      <c r="G333" s="3794" t="str">
        <f>'Part V-Revenues &amp; Expenses'!$O$53</f>
        <v>40% of Units at 60% of AMI</v>
      </c>
      <c r="H333" s="3795"/>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791" t="s">
        <v>3762</v>
      </c>
      <c r="H340" s="3792"/>
      <c r="I340" s="3792"/>
      <c r="J340" s="3792"/>
      <c r="K340" s="3792"/>
      <c r="L340" s="3793"/>
      <c r="M340" s="2165"/>
      <c r="N340" s="2165"/>
      <c r="O340" s="2165"/>
      <c r="P340" s="2165"/>
      <c r="Q340" s="2109"/>
      <c r="AM340" s="2494">
        <v>340</v>
      </c>
    </row>
    <row r="341" spans="1:39" s="2164" customFormat="1" ht="15.95"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2" t="s">
        <v>3326</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5.95"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4847</v>
      </c>
      <c r="C344" s="2109"/>
      <c r="D344" s="2109"/>
      <c r="E344" s="2109"/>
      <c r="F344" s="2109"/>
      <c r="G344" s="2109"/>
      <c r="H344" s="2109"/>
      <c r="I344" s="2109"/>
      <c r="J344" s="2109"/>
      <c r="K344" s="2109"/>
      <c r="M344" s="2111"/>
      <c r="O344" s="2122"/>
      <c r="AM344" s="2494">
        <v>344</v>
      </c>
    </row>
    <row r="345" spans="1:39" ht="15.95" customHeight="1">
      <c r="A345" s="3776" t="s">
        <v>905</v>
      </c>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4480</v>
      </c>
      <c r="D351" s="2163"/>
      <c r="E351" s="2213" t="s">
        <v>4491</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34.9" customHeight="1">
      <c r="A354" s="3776" t="s">
        <v>5210</v>
      </c>
      <c r="B354" s="3777"/>
      <c r="C354" s="3777"/>
      <c r="D354" s="3777"/>
      <c r="E354" s="3777"/>
      <c r="F354" s="3777"/>
      <c r="G354" s="3777"/>
      <c r="H354" s="3777"/>
      <c r="I354" s="3777"/>
      <c r="J354" s="3777"/>
      <c r="K354" s="3777"/>
      <c r="L354" s="3777"/>
      <c r="M354" s="3777"/>
      <c r="N354" s="3777"/>
      <c r="O354" s="3777"/>
      <c r="P354" s="3778"/>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3290</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3069</v>
      </c>
      <c r="D360" s="2193"/>
      <c r="E360" s="2193"/>
      <c r="G360" s="2109"/>
      <c r="I360" s="3791" t="s">
        <v>5154</v>
      </c>
      <c r="J360" s="3792"/>
      <c r="K360" s="3792"/>
      <c r="L360" s="379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4847</v>
      </c>
      <c r="L362" s="2108"/>
      <c r="M362" s="2111"/>
      <c r="N362" s="2129"/>
      <c r="O362" s="2122"/>
      <c r="P362" s="2121"/>
      <c r="AM362" s="2494">
        <v>362</v>
      </c>
    </row>
    <row r="363" spans="1:39" ht="15.95" customHeight="1">
      <c r="A363" s="3776" t="s">
        <v>5153</v>
      </c>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3291</v>
      </c>
      <c r="B368" s="2133" t="s">
        <v>4852</v>
      </c>
      <c r="D368" s="2133"/>
      <c r="E368" s="2133"/>
      <c r="I368" s="2258" t="str">
        <f>IF(AND($O368&gt;0,NOT($F$12="Preservation")),"Ineligible, not Preservation!","")</f>
        <v/>
      </c>
      <c r="M368" s="2112"/>
      <c r="N368" s="2111"/>
      <c r="O368" s="2323">
        <f>IF($F$12="Preservation",O370+O373+O374+O375+O384+O399,0)</f>
        <v>28</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4033</v>
      </c>
      <c r="D370" s="2133"/>
      <c r="E370" s="2133"/>
      <c r="L370" s="2211" t="s">
        <v>4896</v>
      </c>
      <c r="M370" s="2112">
        <v>6</v>
      </c>
      <c r="N370" s="2111"/>
      <c r="O370" s="2011">
        <v>6</v>
      </c>
      <c r="P370" s="2229"/>
      <c r="Q370" s="2144"/>
      <c r="R370" s="2150"/>
      <c r="AM370" s="2494">
        <v>370</v>
      </c>
    </row>
    <row r="371" spans="1:39" s="2109" customFormat="1" ht="15.95"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5" customHeight="1">
      <c r="A372" s="2223"/>
      <c r="B372" s="2109" t="s">
        <v>4710</v>
      </c>
      <c r="D372" s="2133"/>
      <c r="E372" s="2133"/>
      <c r="F372" s="2125"/>
      <c r="L372" s="2149"/>
      <c r="M372" s="2112"/>
      <c r="N372" s="2111"/>
      <c r="O372" s="2015" t="s">
        <v>2641</v>
      </c>
      <c r="P372" s="2156"/>
      <c r="Q372" s="2144"/>
      <c r="R372" s="2150"/>
      <c r="AM372" s="2495">
        <v>372</v>
      </c>
    </row>
    <row r="373" spans="1:39" s="2164" customFormat="1" ht="15.95" customHeight="1">
      <c r="A373" s="2112" t="s">
        <v>697</v>
      </c>
      <c r="B373" s="2274" t="s">
        <v>4035</v>
      </c>
      <c r="C373" s="2266"/>
      <c r="D373" s="2266"/>
      <c r="E373" s="2266"/>
      <c r="F373" s="2266"/>
      <c r="H373" s="2266"/>
      <c r="I373" s="2266"/>
      <c r="J373" s="2127"/>
      <c r="K373" s="2127"/>
      <c r="L373" s="2211" t="s">
        <v>4896</v>
      </c>
      <c r="M373" s="2111">
        <v>4</v>
      </c>
      <c r="N373" s="2231"/>
      <c r="O373" s="2011">
        <v>2</v>
      </c>
      <c r="P373" s="2229"/>
      <c r="Q373" s="2149"/>
      <c r="R373" s="2150"/>
      <c r="AM373" s="2495">
        <v>373</v>
      </c>
    </row>
    <row r="374" spans="1:39" ht="15.95"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5.95"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20</v>
      </c>
      <c r="P375" s="2157">
        <f>IF($H$12="Preservation",MIN($M375,(K377+K378+K379)),0)</f>
        <v>0</v>
      </c>
      <c r="Q375" s="2144"/>
      <c r="R375" s="2150"/>
      <c r="AM375" s="2495">
        <v>375</v>
      </c>
    </row>
    <row r="376" spans="1:39" s="2109" customFormat="1" ht="15.95"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3909</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3250</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4997</v>
      </c>
      <c r="F380" s="2234"/>
      <c r="I380" s="2248" t="s">
        <v>4998</v>
      </c>
      <c r="J380" s="2442">
        <f>MAX(J381:J383)</f>
        <v>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3910</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5"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5" customHeight="1">
      <c r="A388" s="2112"/>
      <c r="B388" s="2108" t="s">
        <v>1132</v>
      </c>
      <c r="D388" s="2108" t="s">
        <v>4743</v>
      </c>
      <c r="E388" s="2109"/>
      <c r="F388" s="2109"/>
      <c r="G388" s="2109" t="s">
        <v>4120</v>
      </c>
      <c r="H388" s="2109"/>
      <c r="I388" s="2109"/>
      <c r="J388" s="2109" t="s">
        <v>574</v>
      </c>
      <c r="L388" s="2129" t="s">
        <v>4744</v>
      </c>
      <c r="M388" s="3783" t="s">
        <v>4748</v>
      </c>
      <c r="N388" s="3783"/>
      <c r="O388" s="3783"/>
      <c r="P388" s="3783"/>
      <c r="Q388" s="2149"/>
      <c r="AM388" s="2494">
        <v>388</v>
      </c>
    </row>
    <row r="389" spans="1:39" ht="15.95"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5.95"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5.95"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5.95" customHeight="1">
      <c r="A392" s="2152" t="s">
        <v>3741</v>
      </c>
      <c r="B392" s="3779"/>
      <c r="C392" s="3779"/>
      <c r="D392" s="3779"/>
      <c r="E392" s="3779"/>
      <c r="F392" s="3779"/>
      <c r="G392" s="3779"/>
      <c r="H392" s="3779"/>
      <c r="I392" s="3779"/>
      <c r="J392" s="3779"/>
      <c r="K392" s="3779"/>
      <c r="L392" s="2048"/>
      <c r="M392" s="3780"/>
      <c r="N392" s="3781"/>
      <c r="O392" s="3781"/>
      <c r="P392" s="3782"/>
      <c r="Q392" s="2149"/>
      <c r="AM392" s="2495">
        <v>392</v>
      </c>
    </row>
    <row r="393" spans="1:39" ht="15.95" customHeight="1">
      <c r="A393" s="2152" t="s">
        <v>4690</v>
      </c>
      <c r="B393" s="3779"/>
      <c r="C393" s="3779"/>
      <c r="D393" s="3779"/>
      <c r="E393" s="3779"/>
      <c r="F393" s="3779"/>
      <c r="G393" s="3779"/>
      <c r="H393" s="3779"/>
      <c r="I393" s="3779"/>
      <c r="J393" s="3779"/>
      <c r="K393" s="3779"/>
      <c r="L393" s="2048"/>
      <c r="M393" s="3780"/>
      <c r="N393" s="3781"/>
      <c r="O393" s="3781"/>
      <c r="P393" s="3782"/>
      <c r="Q393" s="2149"/>
      <c r="AM393" s="2495">
        <v>393</v>
      </c>
    </row>
    <row r="394" spans="1:39" ht="15.95" customHeight="1">
      <c r="A394" s="2152" t="s">
        <v>4691</v>
      </c>
      <c r="B394" s="3779"/>
      <c r="C394" s="3779"/>
      <c r="D394" s="3779"/>
      <c r="E394" s="3779"/>
      <c r="F394" s="3779"/>
      <c r="G394" s="3779"/>
      <c r="H394" s="3779"/>
      <c r="I394" s="3779"/>
      <c r="J394" s="3779"/>
      <c r="K394" s="3779"/>
      <c r="L394" s="2048"/>
      <c r="M394" s="3780"/>
      <c r="N394" s="3781"/>
      <c r="O394" s="3781"/>
      <c r="P394" s="3782"/>
      <c r="Q394" s="2149"/>
      <c r="AM394" s="2495">
        <v>394</v>
      </c>
    </row>
    <row r="395" spans="1:39" ht="15.95" customHeight="1">
      <c r="A395" s="2152" t="s">
        <v>4930</v>
      </c>
      <c r="B395" s="3779"/>
      <c r="C395" s="3779"/>
      <c r="D395" s="3779"/>
      <c r="E395" s="3779"/>
      <c r="F395" s="3779"/>
      <c r="G395" s="3779"/>
      <c r="H395" s="3779"/>
      <c r="I395" s="3779"/>
      <c r="J395" s="3779"/>
      <c r="K395" s="3779"/>
      <c r="L395" s="2048"/>
      <c r="M395" s="3780"/>
      <c r="N395" s="3781"/>
      <c r="O395" s="3781"/>
      <c r="P395" s="3782"/>
      <c r="Q395" s="2149"/>
      <c r="AM395" s="2495">
        <v>395</v>
      </c>
    </row>
    <row r="396" spans="1:39" ht="15.95" customHeight="1">
      <c r="A396" s="2152" t="s">
        <v>4931</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4904</v>
      </c>
      <c r="B397" s="3779"/>
      <c r="C397" s="3779"/>
      <c r="D397" s="3779"/>
      <c r="E397" s="3779"/>
      <c r="F397" s="3779"/>
      <c r="G397" s="3779"/>
      <c r="H397" s="3779"/>
      <c r="I397" s="3779"/>
      <c r="J397" s="3779"/>
      <c r="K397" s="3779"/>
      <c r="L397" s="2048"/>
      <c r="M397" s="3780"/>
      <c r="N397" s="3781"/>
      <c r="O397" s="3781"/>
      <c r="P397" s="3782"/>
      <c r="AM397" s="2495">
        <v>397</v>
      </c>
    </row>
    <row r="398" spans="1:39" ht="15.95" customHeight="1">
      <c r="A398" s="2152" t="s">
        <v>4932</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5.95"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5" customHeight="1">
      <c r="A400" s="2109"/>
      <c r="B400" s="2131" t="s">
        <v>4847</v>
      </c>
      <c r="C400" s="2109"/>
      <c r="D400" s="2109"/>
      <c r="E400" s="2109"/>
      <c r="F400" s="2109"/>
      <c r="G400" s="2109"/>
      <c r="H400" s="2109"/>
      <c r="I400" s="2109"/>
      <c r="J400" s="2109"/>
      <c r="K400" s="2109"/>
      <c r="M400" s="2111"/>
      <c r="O400" s="2122"/>
      <c r="AM400" s="2494">
        <v>400</v>
      </c>
    </row>
    <row r="401" spans="1:39" ht="57.75" customHeight="1">
      <c r="A401" s="3776" t="s">
        <v>5220</v>
      </c>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5000</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5.95"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71</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33.950000000000003" customHeight="1">
      <c r="A410" s="3761" t="s">
        <v>5034</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t="s">
        <v>5211</v>
      </c>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4458</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4459</v>
      </c>
      <c r="AW419" s="3767"/>
      <c r="AX419" s="3767"/>
      <c r="AY419" s="3768"/>
      <c r="AZ419" s="3769" t="s">
        <v>4460</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4767</v>
      </c>
      <c r="AH421" s="3749"/>
      <c r="AI421" s="3749" t="s">
        <v>4403</v>
      </c>
      <c r="AJ421" s="3749"/>
      <c r="AK421" s="3752" t="s">
        <v>4039</v>
      </c>
      <c r="AL421" s="3752"/>
      <c r="AM421" s="3752"/>
      <c r="AN421" s="3752"/>
      <c r="AP421" s="2134"/>
      <c r="AQ421" s="2133" t="s">
        <v>4038</v>
      </c>
      <c r="AR421" s="2134"/>
      <c r="AS421" s="2134"/>
      <c r="AT421" s="2134"/>
      <c r="AV421" s="3753" t="s">
        <v>4767</v>
      </c>
      <c r="AW421" s="3754"/>
      <c r="AX421" s="3753" t="s">
        <v>4403</v>
      </c>
      <c r="AY421" s="3754"/>
      <c r="AZ421" s="3755" t="s">
        <v>4767</v>
      </c>
      <c r="BA421" s="3755"/>
      <c r="BB421" s="3747" t="s">
        <v>4403</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749" t="str">
        <f>'Part I-Project Identification'!F12</f>
        <v>9% Credit Competitive Round only</v>
      </c>
      <c r="AL422" s="3749"/>
      <c r="AM422" s="3749"/>
      <c r="AN422" s="374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750" t="s">
        <v>4457</v>
      </c>
      <c r="AL428" s="3750"/>
      <c r="AM428" s="3750"/>
      <c r="AN428" s="375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Yes</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f>'Part II-Sources of Funds'!$L$14</f>
        <v>0</v>
      </c>
      <c r="AP439" s="2147" t="s">
        <v>3280</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28</v>
      </c>
      <c r="AY446" s="2340">
        <f>$O$368</f>
        <v>28</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44.5</v>
      </c>
      <c r="AW449" s="2382">
        <f>IF(AND($O$12="4%",($C$12-$A$12)&gt;0),(SUM(AW423:AW447)-($C$12-$A$12)),SUM(AW423:AW447))</f>
        <v>40.5</v>
      </c>
      <c r="AX449" s="2382">
        <f>IF(AND($O$12="4%",($C$12-$A$12)&gt;0),(SUM(AX423:AX447)-($C$12-$A$12)),SUM(AX423:AX447))</f>
        <v>71</v>
      </c>
      <c r="AY449" s="2382">
        <f>SUM(AY423:AY447)</f>
        <v>67</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formula1>"0, 2, 4"</formula1>
    </dataValidation>
    <dataValidation type="list" allowBlank="1" showInputMessage="1" showErrorMessage="1" sqref="J12:M13">
      <formula1>"&lt;&lt; Select Pool &gt;&gt;, Rural, Other Metro, Atlanta Metro"</formula1>
    </dataValidation>
    <dataValidation type="list" allowBlank="1" showInputMessage="1" showErrorMessage="1" sqref="G241">
      <formula1>"&lt;&lt;Select Site CT Location&gt;&gt;,Within a Census Tract,Near a Census Tract"</formula1>
    </dataValidation>
    <dataValidation type="list" allowBlank="1" showInputMessage="1" showErrorMessage="1" sqref="E254:F258">
      <formula1>"Above 50th,At or below 50th"</formula1>
    </dataValidation>
    <dataValidation type="list" allowBlank="1" showInputMessage="1" showErrorMessage="1" sqref="G254:G258">
      <formula1>"At or below 50th,Above 50th"</formula1>
    </dataValidation>
    <dataValidation type="list" allowBlank="1" showInputMessage="1" showErrorMessage="1" sqref="I254:L258">
      <formula1>"Within Census Tract,Near Census Tract"</formula1>
    </dataValidation>
    <dataValidation type="list" allowBlank="1" showInputMessage="1" showErrorMessage="1" sqref="J122:J126 J128:J132">
      <formula1>"Submitted,N/A"</formula1>
    </dataValidation>
    <dataValidation type="list" allowBlank="1" showInputMessage="1" showErrorMessage="1" sqref="G40">
      <formula1>"&lt;&lt;Select&gt;&gt;, For Profit, Non-Profit"</formula1>
    </dataValidation>
    <dataValidation type="list" allowBlank="1" showInputMessage="1" showErrorMessage="1" sqref="C16:H16">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formula1>"0, 1, 2, 3"</formula1>
    </dataValidation>
    <dataValidation type="list" allowBlank="1" showInputMessage="1" showErrorMessage="1" sqref="O386:P386">
      <formula1>"0, 2, 3"</formula1>
    </dataValidation>
    <dataValidation type="whole" allowBlank="1" showInputMessage="1" showErrorMessage="1" sqref="O387:P387">
      <formula1>0</formula1>
      <formula2>10</formula2>
    </dataValidation>
    <dataValidation type="list" allowBlank="1" showInputMessage="1" showErrorMessage="1" sqref="O399:P399">
      <formula1>"2, 4, 5, 6"</formula1>
    </dataValidation>
    <dataValidation type="list" allowBlank="1" showInputMessage="1" showErrorMessage="1" sqref="O217:P219 O223:P223">
      <formula1>"Yes, No, n/a"</formula1>
    </dataValidation>
    <dataValidation type="list" allowBlank="1" showInputMessage="1" showErrorMessage="1" sqref="O42:P42">
      <formula1>"Yes, No, N/a, TBD"</formula1>
    </dataValidation>
    <dataValidation type="list" allowBlank="1" showInputMessage="1" showErrorMessage="1" sqref="P370">
      <formula1>"0, 2, 4, 6"</formula1>
    </dataValidation>
    <dataValidation type="list" allowBlank="1" showInputMessage="1" showErrorMessage="1" sqref="F12 H12">
      <formula1>"&lt;&lt; Select Activity Type &gt;&gt;, New Affordability, Preservation"</formula1>
    </dataValidation>
    <dataValidation type="list" allowBlank="1" showInputMessage="1" showErrorMessage="1" sqref="O181:P181">
      <formula1>"1,2,3"</formula1>
    </dataValidation>
    <dataValidation type="list" allowBlank="1" showInputMessage="1" showErrorMessage="1" sqref="O179:P179">
      <formula1>"4, 4.5, 5"</formula1>
    </dataValidation>
    <dataValidation type="whole" allowBlank="1" showInputMessage="1" showErrorMessage="1" sqref="O375:P383">
      <formula1>0</formula1>
      <formula2>20</formula2>
    </dataValidation>
    <dataValidation type="list" allowBlank="1" showInputMessage="1" showErrorMessage="1" sqref="O370 P371">
      <formula1>"2, 4, 6"</formula1>
    </dataValidation>
    <dataValidation type="whole" operator="equal" allowBlank="1" showInputMessage="1" showErrorMessage="1" sqref="P182:P183">
      <formula1>$M182</formula1>
    </dataValidation>
    <dataValidation type="decimal" operator="lessThanOrEqual" allowBlank="1" showInputMessage="1" showErrorMessage="1" sqref="O161:P161 O190:P190 O178:P178 O317:P317 O359:P359 O368:P368">
      <formula1>$M161</formula1>
    </dataValidation>
    <dataValidation type="whole" operator="equal" allowBlank="1" showErrorMessage="1" errorTitle="Incorrect Point Value Entered" error="Please re-check the point value for this criterion." sqref="O144:O145 O147">
      <formula1>$M144</formula1>
    </dataValidation>
    <dataValidation type="whole" operator="lessThanOrEqual" allowBlank="1" showInputMessage="1" showErrorMessage="1" sqref="P144">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dataValidation type="list" allowBlank="1" showInputMessage="1" showErrorMessage="1" sqref="O22:P24 O372:P372 O81:P82 O266:P267 O26:P26 O57:P57 O45:P45 P194:P199 F194:L199 O275:P275 O153:P153 O32:P32 O47:P48 P122:P123 O29:P30 O290 O293 O106:P106">
      <formula1>"Yes, No, N/a"</formula1>
    </dataValidation>
    <dataValidation type="list" allowBlank="1" showInputMessage="1" showErrorMessage="1" sqref="G340:L34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Pateville Estates, Cordele, Crisp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5054</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3182</v>
      </c>
      <c r="G9" s="1729"/>
      <c r="H9" s="1729"/>
      <c r="I9" s="2509">
        <f>'Part III-A-Uses of Funds'!$J$191</f>
        <v>1145000</v>
      </c>
      <c r="J9" s="2509"/>
      <c r="K9" s="1729"/>
      <c r="L9" s="1729" t="s">
        <v>3183</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2024QD050</v>
      </c>
      <c r="P11" s="1729"/>
    </row>
    <row r="12" spans="1:16" ht="15">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3552</v>
      </c>
      <c r="C14" s="1729"/>
      <c r="D14" s="2508"/>
      <c r="E14" s="1534"/>
      <c r="F14" s="1729"/>
      <c r="G14" s="1534"/>
      <c r="H14" s="1534"/>
      <c r="I14" s="2518" t="s">
        <v>3210</v>
      </c>
      <c r="J14" s="1729"/>
      <c r="K14" s="1729"/>
      <c r="L14" s="2512"/>
      <c r="M14" s="1729"/>
      <c r="N14" s="1729"/>
      <c r="O14" s="1729"/>
      <c r="P14" s="1729"/>
    </row>
    <row r="15" spans="1:16">
      <c r="A15" s="1729"/>
      <c r="B15" s="1729" t="s">
        <v>3211</v>
      </c>
      <c r="C15" s="1729"/>
      <c r="D15" s="1729"/>
      <c r="E15" s="1729"/>
      <c r="F15" s="1729" t="str">
        <f>'Part I-Project Identification'!F16</f>
        <v>RR Jennings Developer, LLC</v>
      </c>
      <c r="G15" s="1729"/>
      <c r="H15" s="1729"/>
      <c r="I15" s="1729" t="s">
        <v>1665</v>
      </c>
      <c r="J15" s="1729" t="str">
        <f>'Part I-Project Identification'!J16</f>
        <v>Stacy Hastie</v>
      </c>
      <c r="K15" s="1729"/>
      <c r="L15" s="1729"/>
      <c r="M15" s="2508" t="s">
        <v>1834</v>
      </c>
      <c r="N15" s="1729" t="str">
        <f>'Part I-Project Identification'!N16</f>
        <v>Manager</v>
      </c>
      <c r="O15" s="1729"/>
      <c r="P15" s="1729"/>
    </row>
    <row r="16" spans="1:16">
      <c r="A16" s="1729"/>
      <c r="B16" s="2508" t="s">
        <v>1597</v>
      </c>
      <c r="C16" s="1729"/>
      <c r="D16" s="1729"/>
      <c r="E16" s="1729"/>
      <c r="F16" s="2519">
        <f>'Part I-Project Identification'!F17</f>
        <v>3142410900</v>
      </c>
      <c r="G16" s="2519"/>
      <c r="H16" s="2519"/>
      <c r="I16" s="2508" t="s">
        <v>1596</v>
      </c>
      <c r="J16" s="1534">
        <f>'Part I-Project Identification'!J17</f>
        <v>0</v>
      </c>
      <c r="K16" s="1729"/>
      <c r="L16" s="1729"/>
      <c r="M16" s="2508" t="s">
        <v>1598</v>
      </c>
      <c r="N16" s="2519">
        <f>'Part I-Project Identification'!N17</f>
        <v>3142410900</v>
      </c>
      <c r="O16" s="2519"/>
      <c r="P16" s="2519"/>
    </row>
    <row r="17" spans="1:16">
      <c r="A17" s="1729"/>
      <c r="B17" s="2508" t="s">
        <v>1837</v>
      </c>
      <c r="C17" s="1729"/>
      <c r="D17" s="1729"/>
      <c r="E17" s="1729"/>
      <c r="F17" s="1729" t="str">
        <f>'Part I-Project Identification'!F18</f>
        <v>Stacy@Environmentalops.com</v>
      </c>
      <c r="G17" s="1729"/>
      <c r="H17" s="1729"/>
      <c r="I17" s="1729"/>
      <c r="J17" s="1729"/>
      <c r="K17" s="1729"/>
      <c r="L17" s="1729"/>
      <c r="M17" s="2508" t="s">
        <v>1833</v>
      </c>
      <c r="N17" s="2519">
        <f>'Part I-Project Identification'!N18</f>
        <v>0</v>
      </c>
      <c r="O17" s="2519"/>
      <c r="P17" s="2519"/>
    </row>
    <row r="18" spans="1:16">
      <c r="A18" s="2502"/>
      <c r="B18" s="2501" t="s">
        <v>3551</v>
      </c>
      <c r="C18" s="377"/>
      <c r="D18" s="1729"/>
      <c r="E18" s="1729"/>
      <c r="F18" s="1729"/>
      <c r="G18" s="1729"/>
      <c r="H18" s="1534"/>
      <c r="I18" s="1729"/>
      <c r="J18" s="377"/>
      <c r="K18" s="1729"/>
      <c r="L18" s="1729"/>
      <c r="M18" s="1729"/>
      <c r="N18" s="1729"/>
      <c r="O18" s="1729"/>
      <c r="P18" s="1534"/>
    </row>
    <row r="19" spans="1:16">
      <c r="A19" s="1729"/>
      <c r="B19" s="1729" t="s">
        <v>3211</v>
      </c>
      <c r="C19" s="1729"/>
      <c r="D19" s="1729"/>
      <c r="E19" s="1729"/>
      <c r="F19" s="1729" t="str">
        <f>'Part I-Project Identification'!F20</f>
        <v>Simple Asset Management</v>
      </c>
      <c r="G19" s="1729"/>
      <c r="H19" s="1729"/>
      <c r="I19" s="1729" t="s">
        <v>1665</v>
      </c>
      <c r="J19" s="1729" t="str">
        <f>'Part I-Project Identification'!J20</f>
        <v>Jill Cromartie</v>
      </c>
      <c r="K19" s="1729"/>
      <c r="L19" s="1729"/>
      <c r="M19" s="2508" t="s">
        <v>1834</v>
      </c>
      <c r="N19" s="1729" t="str">
        <f>'Part I-Project Identification'!N20</f>
        <v>Consultant</v>
      </c>
      <c r="O19" s="1729"/>
      <c r="P19" s="1729"/>
    </row>
    <row r="20" spans="1:16">
      <c r="A20" s="1729"/>
      <c r="B20" s="2508" t="s">
        <v>1597</v>
      </c>
      <c r="C20" s="1729"/>
      <c r="D20" s="1729"/>
      <c r="E20" s="1729"/>
      <c r="F20" s="2519">
        <f>'Part I-Project Identification'!F21</f>
        <v>4049190644</v>
      </c>
      <c r="G20" s="2519"/>
      <c r="H20" s="2519"/>
      <c r="I20" s="2508" t="s">
        <v>1596</v>
      </c>
      <c r="J20" s="1534">
        <f>'Part I-Project Identification'!J21</f>
        <v>0</v>
      </c>
      <c r="K20" s="1729"/>
      <c r="L20" s="1729"/>
      <c r="M20" s="2508" t="s">
        <v>1598</v>
      </c>
      <c r="N20" s="2519">
        <f>'Part I-Project Identification'!N21</f>
        <v>4049190644</v>
      </c>
      <c r="O20" s="2519"/>
      <c r="P20" s="2519"/>
    </row>
    <row r="21" spans="1:16">
      <c r="A21" s="1729"/>
      <c r="B21" s="2508" t="s">
        <v>1837</v>
      </c>
      <c r="C21" s="1729"/>
      <c r="D21" s="1729"/>
      <c r="E21" s="1729"/>
      <c r="F21" s="1729" t="str">
        <f>'Part I-Project Identification'!F22</f>
        <v>jcromartie@simpleam.com</v>
      </c>
      <c r="G21" s="1729"/>
      <c r="H21" s="1729"/>
      <c r="I21" s="1729"/>
      <c r="J21" s="1729"/>
      <c r="K21" s="1729"/>
      <c r="L21" s="1729"/>
      <c r="M21" s="2508" t="s">
        <v>1833</v>
      </c>
      <c r="N21" s="2519">
        <f>'Part I-Project Identification'!N22</f>
        <v>7702562259</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Pateville Estates</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Cordele</v>
      </c>
      <c r="G26" s="1729"/>
      <c r="H26" s="1729"/>
      <c r="I26" s="2521" t="s">
        <v>575</v>
      </c>
      <c r="J26" s="1729" t="str">
        <f>'Part I-Project Identification'!J27</f>
        <v>Crisp</v>
      </c>
      <c r="K26" s="1729"/>
      <c r="L26" s="1729"/>
      <c r="M26" s="2508" t="s">
        <v>425</v>
      </c>
      <c r="N26" s="1729"/>
      <c r="O26" s="1729"/>
      <c r="P26" s="2520" t="str">
        <f>'Part I-Project Identification'!P27</f>
        <v>No</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19.89</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Crisp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3808</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Pateville Estates, Cordele, Crisp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3981</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3753</v>
      </c>
      <c r="D50" s="1729"/>
      <c r="E50" s="1534">
        <f>'Part II-Sources of Funds'!E7</f>
        <v>0</v>
      </c>
      <c r="F50" s="2505" t="s">
        <v>3982</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4555</v>
      </c>
      <c r="D51" s="2475"/>
      <c r="E51" s="2475"/>
      <c r="F51" s="2475" t="s">
        <v>4558</v>
      </c>
      <c r="G51" s="2475"/>
      <c r="H51" s="2475" t="str">
        <f>'Part II-Sources of Funds'!H8</f>
        <v>Specify Other HOME Source here</v>
      </c>
      <c r="I51" s="2475"/>
      <c r="J51" s="2475"/>
      <c r="K51" s="2475"/>
      <c r="L51" s="1534">
        <f>'Part II-Sources of Funds'!L8</f>
        <v>0</v>
      </c>
      <c r="M51" s="2505" t="s">
        <v>4560</v>
      </c>
      <c r="N51" s="2475"/>
      <c r="O51" s="2475"/>
      <c r="P51" s="2528"/>
      <c r="Q51" s="2528"/>
    </row>
    <row r="52" spans="1:17" ht="13.5">
      <c r="A52" s="2502"/>
      <c r="B52" s="1534">
        <f>'Part II-Sources of Funds'!B9</f>
        <v>0</v>
      </c>
      <c r="C52" s="2475" t="s">
        <v>3216</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3754</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3108</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3109</v>
      </c>
      <c r="D55" s="2475"/>
      <c r="E55" s="2475"/>
      <c r="F55" s="2475" t="str">
        <f>'Part II-Sources of Funds'!F12</f>
        <v>Specify Source/Administrator of Other STATE/LOCAL Funding here</v>
      </c>
      <c r="G55" s="2475"/>
      <c r="H55" s="2475"/>
      <c r="I55" s="2475"/>
      <c r="J55" s="2475"/>
      <c r="K55" s="2475"/>
      <c r="L55" s="1534">
        <f>'Part II-Sources of Funds'!L12</f>
        <v>0</v>
      </c>
      <c r="M55" s="2475" t="s">
        <v>3135</v>
      </c>
      <c r="N55" s="2475"/>
      <c r="O55" s="2475"/>
      <c r="P55" s="2475"/>
      <c r="Q55" s="2475"/>
    </row>
    <row r="56" spans="1:17" ht="13.5">
      <c r="A56" s="2502"/>
      <c r="B56" s="1534">
        <f>'Part II-Sources of Funds'!B13</f>
        <v>0</v>
      </c>
      <c r="C56" s="2505" t="s">
        <v>4557</v>
      </c>
      <c r="D56" s="2475"/>
      <c r="E56" s="1534">
        <f>'Part II-Sources of Funds'!E13</f>
        <v>0</v>
      </c>
      <c r="F56" s="2505" t="s">
        <v>4559</v>
      </c>
      <c r="G56" s="2475"/>
      <c r="H56" s="2475" t="str">
        <f>'Part II-Sources of Funds'!H13</f>
        <v>Specify Other PBRA Source here</v>
      </c>
      <c r="I56" s="2475"/>
      <c r="J56" s="2475"/>
      <c r="K56" s="2475"/>
      <c r="L56" s="1534">
        <f>'Part II-Sources of Funds'!L13</f>
        <v>0</v>
      </c>
      <c r="M56" s="2475" t="s">
        <v>3980</v>
      </c>
      <c r="N56" s="2475"/>
      <c r="O56" s="2475"/>
      <c r="P56" s="2475"/>
      <c r="Q56" s="2475"/>
    </row>
    <row r="57" spans="1:17" ht="13.5">
      <c r="A57" s="2502"/>
      <c r="B57" s="1534">
        <f>'Part II-Sources of Funds'!B14</f>
        <v>0</v>
      </c>
      <c r="C57" s="2475" t="s">
        <v>2391</v>
      </c>
      <c r="D57" s="2475"/>
      <c r="E57" s="1534">
        <f>'Part II-Sources of Funds'!E14</f>
        <v>0</v>
      </c>
      <c r="F57" s="2505" t="s">
        <v>3215</v>
      </c>
      <c r="G57" s="2475"/>
      <c r="H57" s="2475"/>
      <c r="I57" s="2475"/>
      <c r="J57" s="2475"/>
      <c r="K57" s="2475"/>
      <c r="L57" s="1534">
        <f>'Part II-Sources of Funds'!L14</f>
        <v>0</v>
      </c>
      <c r="M57" s="2475" t="s">
        <v>4605</v>
      </c>
      <c r="N57" s="2475"/>
      <c r="O57" s="2475"/>
      <c r="P57" s="2475"/>
      <c r="Q57" s="2475"/>
    </row>
    <row r="58" spans="1:17" ht="13.5">
      <c r="A58" s="2502"/>
      <c r="B58" s="1534">
        <f>'Part II-Sources of Funds'!B15</f>
        <v>0</v>
      </c>
      <c r="C58" s="2475" t="s">
        <v>3134</v>
      </c>
      <c r="D58" s="2475"/>
      <c r="E58" s="1534">
        <f>'Part II-Sources of Funds'!E15</f>
        <v>0</v>
      </c>
      <c r="F58" s="2505" t="s">
        <v>3983</v>
      </c>
      <c r="G58" s="2475"/>
      <c r="H58" s="2475"/>
      <c r="I58" s="2475"/>
      <c r="J58" s="2475"/>
      <c r="K58" s="2475"/>
      <c r="L58" s="1534">
        <f>'Part II-Sources of Funds'!L15</f>
        <v>0</v>
      </c>
      <c r="M58" s="2528" t="s">
        <v>3984</v>
      </c>
      <c r="N58" s="2475"/>
      <c r="O58" s="2475"/>
      <c r="P58" s="2475"/>
      <c r="Q58" s="2475"/>
    </row>
    <row r="59" spans="1:17" ht="13.5">
      <c r="A59" s="2502"/>
      <c r="B59" s="1534">
        <f>'Part II-Sources of Funds'!B16</f>
        <v>0</v>
      </c>
      <c r="C59" s="2505" t="s">
        <v>1668</v>
      </c>
      <c r="D59" s="2475"/>
      <c r="E59" s="1534">
        <f>'Part II-Sources of Funds'!E16</f>
        <v>0</v>
      </c>
      <c r="F59" s="2505" t="s">
        <v>4397</v>
      </c>
      <c r="G59" s="2475"/>
      <c r="H59" s="2475"/>
      <c r="I59" s="2530">
        <f>'Part II-Sources of Funds'!I16</f>
        <v>0</v>
      </c>
      <c r="J59" s="358"/>
      <c r="K59" s="2475"/>
      <c r="L59" s="1534">
        <f>'Part II-Sources of Funds'!L16</f>
        <v>0</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12165067</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 Inc.</v>
      </c>
      <c r="I71" s="1729"/>
      <c r="J71" s="1729"/>
      <c r="K71" s="1729"/>
      <c r="L71" s="2531">
        <f>'Part II-Sources of Funds'!L28</f>
        <v>1831816</v>
      </c>
      <c r="M71" s="2531"/>
      <c r="N71" s="1729"/>
      <c r="O71" s="2475"/>
      <c r="P71" s="2475"/>
      <c r="Q71" s="1729"/>
    </row>
    <row r="72" spans="1:17" ht="13.5">
      <c r="A72" s="1729"/>
      <c r="B72" s="1729" t="s">
        <v>746</v>
      </c>
      <c r="C72" s="1729"/>
      <c r="D72" s="1729"/>
      <c r="E72" s="1729"/>
      <c r="F72" s="2475"/>
      <c r="G72" s="2475"/>
      <c r="H72" s="1729" t="str">
        <f>'Part II-Sources of Funds'!H29</f>
        <v>Affordable Equity Partners, Inc.</v>
      </c>
      <c r="I72" s="1729"/>
      <c r="J72" s="1729"/>
      <c r="K72" s="1729"/>
      <c r="L72" s="2531">
        <f>'Part II-Sources of Funds'!L29</f>
        <v>916000</v>
      </c>
      <c r="M72" s="2531"/>
      <c r="N72" s="1729"/>
      <c r="O72" s="2475"/>
      <c r="P72" s="2475"/>
      <c r="Q72" s="1729"/>
    </row>
    <row r="73" spans="1:17" ht="13.5">
      <c r="A73" s="1729"/>
      <c r="B73" s="1729" t="s">
        <v>232</v>
      </c>
      <c r="C73" s="1729"/>
      <c r="D73" s="1729" t="str">
        <f>'Part II-Sources of Funds'!D30</f>
        <v>GP &amp; LP Equity</v>
      </c>
      <c r="E73" s="1729"/>
      <c r="F73" s="1729"/>
      <c r="G73" s="1729"/>
      <c r="H73" s="1729">
        <f>'Part II-Sources of Funds'!H30</f>
        <v>0</v>
      </c>
      <c r="I73" s="1729"/>
      <c r="J73" s="1729"/>
      <c r="K73" s="1729"/>
      <c r="L73" s="2531">
        <f>'Part II-Sources of Funds'!L30</f>
        <v>110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14912993</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14912993</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Sterling Bank</v>
      </c>
      <c r="F83" s="1729"/>
      <c r="G83" s="1729"/>
      <c r="H83" s="1729"/>
      <c r="I83" s="2536">
        <f>'Part II-Sources of Funds'!I40</f>
        <v>3200000</v>
      </c>
      <c r="J83" s="1729"/>
      <c r="K83" s="2537">
        <f>'Part II-Sources of Funds'!K40</f>
        <v>7.4999999999999997E-2</v>
      </c>
      <c r="L83" s="1534">
        <f>'Part II-Sources of Funds'!L40</f>
        <v>18</v>
      </c>
      <c r="M83" s="1534">
        <f>'Part II-Sources of Funds'!M40</f>
        <v>40</v>
      </c>
      <c r="N83" s="1729" t="str">
        <f>'Part II-Sources of Funds'!N40</f>
        <v>Amortizing</v>
      </c>
      <c r="O83" s="1729"/>
      <c r="P83" s="2538">
        <f>'Part II-Sources of Funds'!P40</f>
        <v>252699.15947102249</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3.3083594566353187E-2</v>
      </c>
      <c r="E88" s="1729" t="str">
        <f>'Part II-Sources of Funds'!E45</f>
        <v>RR Jennings Developer, LLC</v>
      </c>
      <c r="F88" s="1729"/>
      <c r="G88" s="1729"/>
      <c r="H88" s="1729"/>
      <c r="I88" s="2536">
        <f>'Part II-Sources of Funds'!I45</f>
        <v>63322</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3317</v>
      </c>
      <c r="C90" s="1729"/>
      <c r="D90" s="2475"/>
      <c r="E90" s="2475" t="s">
        <v>3275</v>
      </c>
      <c r="F90" s="2543">
        <f>'Part II-Sources of Funds'!F47</f>
        <v>1083201.1725420267</v>
      </c>
      <c r="G90" s="2475"/>
      <c r="H90" s="2544" t="s">
        <v>3316</v>
      </c>
      <c r="I90" s="2543">
        <f>'Part II-Sources of Funds'!I47</f>
        <v>63322</v>
      </c>
      <c r="J90" s="2475"/>
      <c r="K90" s="2544" t="s">
        <v>3318</v>
      </c>
      <c r="L90" s="2545">
        <f>'Part II-Sources of Funds'!L47</f>
        <v>5.8458208507472041E-2</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Equity Partners, Inc.</v>
      </c>
      <c r="F94" s="1729"/>
      <c r="G94" s="1729"/>
      <c r="H94" s="1729"/>
      <c r="I94" s="2536">
        <f>'Part II-Sources of Funds'!I51</f>
        <v>9159084</v>
      </c>
      <c r="J94" s="1729"/>
      <c r="K94" s="2475"/>
      <c r="L94" s="2549">
        <f>'Part III-A-Uses of Funds'!$J$191*10*'Part III-A-Uses of Funds'!$N$182</f>
        <v>9160000</v>
      </c>
      <c r="M94" s="2549"/>
      <c r="N94" s="2550">
        <f>I94-L94</f>
        <v>-916</v>
      </c>
      <c r="O94" s="2550"/>
      <c r="P94" s="2551">
        <f>I94/I104</f>
        <v>0.53868992095052282</v>
      </c>
      <c r="Q94" s="1729"/>
    </row>
    <row r="95" spans="1:17" ht="13.5">
      <c r="A95" s="1729"/>
      <c r="B95" s="1729" t="s">
        <v>746</v>
      </c>
      <c r="C95" s="1729"/>
      <c r="D95" s="1729"/>
      <c r="E95" s="1729" t="str">
        <f>'Part II-Sources of Funds'!E52</f>
        <v>Affordable Equity Partners, Inc.</v>
      </c>
      <c r="F95" s="1729"/>
      <c r="G95" s="1729"/>
      <c r="H95" s="1729"/>
      <c r="I95" s="2536">
        <f>'Part II-Sources of Funds'!I52</f>
        <v>4580000</v>
      </c>
      <c r="J95" s="1729"/>
      <c r="K95" s="2475"/>
      <c r="L95" s="2549">
        <f>'Part III-A-Uses of Funds'!$J$191*10*'Part III-A-Uses of Funds'!$Q$182</f>
        <v>4580000</v>
      </c>
      <c r="M95" s="2549"/>
      <c r="N95" s="2550">
        <f>I95-L95</f>
        <v>0</v>
      </c>
      <c r="O95" s="2550"/>
      <c r="P95" s="2551">
        <f>I95/I104</f>
        <v>0.26937189766502795</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0.80806181861555082</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GP &amp; LP Equity</v>
      </c>
      <c r="D100" s="1729"/>
      <c r="E100" s="1729">
        <f>'Part II-Sources of Funds'!E57</f>
        <v>0</v>
      </c>
      <c r="F100" s="1729"/>
      <c r="G100" s="1729"/>
      <c r="H100" s="1729"/>
      <c r="I100" s="2536">
        <f>'Part II-Sources of Funds'!I57</f>
        <v>110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17002516</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17002516</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Pateville Estates,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20000</v>
      </c>
      <c r="H119" s="2531"/>
      <c r="I119" s="1729"/>
      <c r="J119" s="2531">
        <f>'Part III-A-Uses of Funds'!J9</f>
        <v>0</v>
      </c>
      <c r="K119" s="2531"/>
      <c r="L119" s="2520"/>
      <c r="M119" s="2531">
        <f>'Part III-A-Uses of Funds'!M9</f>
        <v>0</v>
      </c>
      <c r="N119" s="2531"/>
      <c r="O119" s="1729"/>
      <c r="P119" s="2531">
        <f>'Part III-A-Uses of Funds'!P9</f>
        <v>20000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0</v>
      </c>
      <c r="K120" s="2531"/>
      <c r="L120" s="2520"/>
      <c r="M120" s="2531">
        <f>'Part III-A-Uses of Funds'!M10</f>
        <v>0</v>
      </c>
      <c r="N120" s="2531"/>
      <c r="O120" s="1729"/>
      <c r="P120" s="2531">
        <f>'Part III-A-Uses of Funds'!P10</f>
        <v>10000</v>
      </c>
      <c r="Q120" s="2531"/>
      <c r="R120" s="1729"/>
      <c r="S120" s="2531">
        <f>'Part III-A-Uses of Funds'!S10</f>
        <v>0</v>
      </c>
      <c r="T120" s="2531"/>
    </row>
    <row r="121" spans="1:20">
      <c r="A121" s="1729"/>
      <c r="B121" s="1729" t="s">
        <v>457</v>
      </c>
      <c r="C121" s="1729"/>
      <c r="D121" s="1729"/>
      <c r="E121" s="1729"/>
      <c r="F121" s="1729"/>
      <c r="G121" s="2531">
        <f>'Part III-A-Uses of Funds'!G11</f>
        <v>30000</v>
      </c>
      <c r="H121" s="2531"/>
      <c r="I121" s="1729"/>
      <c r="J121" s="2531">
        <f>'Part III-A-Uses of Funds'!J11</f>
        <v>0</v>
      </c>
      <c r="K121" s="2531"/>
      <c r="L121" s="2520"/>
      <c r="M121" s="2531">
        <f>'Part III-A-Uses of Funds'!M11</f>
        <v>0</v>
      </c>
      <c r="N121" s="2531"/>
      <c r="O121" s="1729"/>
      <c r="P121" s="2531">
        <f>'Part III-A-Uses of Funds'!P11</f>
        <v>30000</v>
      </c>
      <c r="Q121" s="2531"/>
      <c r="R121" s="1729"/>
      <c r="S121" s="2531">
        <f>'Part III-A-Uses of Funds'!S11</f>
        <v>0</v>
      </c>
      <c r="T121" s="2531"/>
    </row>
    <row r="122" spans="1:20">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15000</v>
      </c>
      <c r="H123" s="2531"/>
      <c r="I123" s="1729"/>
      <c r="J123" s="2531">
        <f>'Part III-A-Uses of Funds'!J13</f>
        <v>0</v>
      </c>
      <c r="K123" s="2531"/>
      <c r="L123" s="2520"/>
      <c r="M123" s="2531">
        <f>'Part III-A-Uses of Funds'!M13</f>
        <v>0</v>
      </c>
      <c r="N123" s="2531"/>
      <c r="O123" s="1729"/>
      <c r="P123" s="2531">
        <f>'Part III-A-Uses of Funds'!P13</f>
        <v>15000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Physical Needs Assessment</v>
      </c>
      <c r="D125" s="2475"/>
      <c r="E125" s="2475"/>
      <c r="F125" s="2475"/>
      <c r="G125" s="2531">
        <f>'Part III-A-Uses of Funds'!G15</f>
        <v>5000</v>
      </c>
      <c r="H125" s="2531"/>
      <c r="I125" s="1729"/>
      <c r="J125" s="2531">
        <f>'Part III-A-Uses of Funds'!J15</f>
        <v>0</v>
      </c>
      <c r="K125" s="2531"/>
      <c r="L125" s="2520"/>
      <c r="M125" s="2531">
        <f>'Part III-A-Uses of Funds'!M15</f>
        <v>0</v>
      </c>
      <c r="N125" s="2531"/>
      <c r="O125" s="1729"/>
      <c r="P125" s="2531">
        <f>'Part III-A-Uses of Funds'!P15</f>
        <v>5000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80000</v>
      </c>
      <c r="H128" s="2531"/>
      <c r="I128" s="1729"/>
      <c r="J128" s="2531">
        <f>SUM(J119:J127)</f>
        <v>0</v>
      </c>
      <c r="K128" s="2531"/>
      <c r="L128" s="2520"/>
      <c r="M128" s="2531">
        <f>SUM(M119:M127)</f>
        <v>0</v>
      </c>
      <c r="N128" s="2531"/>
      <c r="O128" s="1729"/>
      <c r="P128" s="2531">
        <f>SUM(P119:P127)</f>
        <v>80000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21116.138763197585</v>
      </c>
      <c r="G130" s="2531">
        <f>'Part III-A-Uses of Funds'!G20</f>
        <v>420000</v>
      </c>
      <c r="H130" s="2531"/>
      <c r="I130" s="1729"/>
      <c r="J130" s="2520"/>
      <c r="K130" s="2531"/>
      <c r="L130" s="2520"/>
      <c r="M130" s="2520"/>
      <c r="N130" s="2531"/>
      <c r="O130" s="1729"/>
      <c r="P130" s="2520"/>
      <c r="Q130" s="2531"/>
      <c r="R130" s="1729"/>
      <c r="S130" s="2531">
        <f>'Part III-A-Uses of Funds'!S20</f>
        <v>420000</v>
      </c>
      <c r="T130" s="2531"/>
    </row>
    <row r="131" spans="1:20">
      <c r="A131" s="1729"/>
      <c r="B131" s="1729" t="s">
        <v>1053</v>
      </c>
      <c r="C131" s="1729"/>
      <c r="D131" s="1729"/>
      <c r="E131" s="1729"/>
      <c r="F131" s="1729"/>
      <c r="G131" s="2531">
        <f>'Part III-A-Uses of Funds'!G21</f>
        <v>130000</v>
      </c>
      <c r="H131" s="2531"/>
      <c r="I131" s="1729"/>
      <c r="J131" s="2520"/>
      <c r="K131" s="2531"/>
      <c r="L131" s="2520"/>
      <c r="M131" s="2520"/>
      <c r="N131" s="2531"/>
      <c r="O131" s="1729"/>
      <c r="P131" s="2520"/>
      <c r="Q131" s="2531"/>
      <c r="R131" s="1729"/>
      <c r="S131" s="2531">
        <f>'Part III-A-Uses of Funds'!S21</f>
        <v>130000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2580000</v>
      </c>
      <c r="H133" s="2531"/>
      <c r="I133" s="1729"/>
      <c r="J133" s="2520"/>
      <c r="K133" s="2531"/>
      <c r="L133" s="2520"/>
      <c r="M133" s="2531">
        <f>'Part III-A-Uses of Funds'!M23</f>
        <v>2580000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3130000</v>
      </c>
      <c r="H134" s="2531"/>
      <c r="I134" s="1729"/>
      <c r="J134" s="2520"/>
      <c r="K134" s="2531"/>
      <c r="L134" s="2520"/>
      <c r="M134" s="2531">
        <f>SUM(M132:M133)</f>
        <v>2580000</v>
      </c>
      <c r="N134" s="2531"/>
      <c r="O134" s="1729"/>
      <c r="P134" s="2520"/>
      <c r="Q134" s="2531"/>
      <c r="R134" s="1729"/>
      <c r="S134" s="2531">
        <f>SUM(S130:S133)</f>
        <v>550000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66867.772750125689</v>
      </c>
      <c r="G136" s="2531">
        <f>'Part III-A-Uses of Funds'!G26</f>
        <v>1330000</v>
      </c>
      <c r="H136" s="2531"/>
      <c r="I136" s="1729"/>
      <c r="J136" s="2531">
        <f>'Part III-A-Uses of Funds'!J26</f>
        <v>0</v>
      </c>
      <c r="K136" s="2531"/>
      <c r="L136" s="2520"/>
      <c r="M136" s="2531">
        <f>'Part III-A-Uses of Funds'!M26</f>
        <v>0</v>
      </c>
      <c r="N136" s="2531"/>
      <c r="O136" s="1729"/>
      <c r="P136" s="2531">
        <f>'Part III-A-Uses of Funds'!P26</f>
        <v>1197000</v>
      </c>
      <c r="Q136" s="2531"/>
      <c r="R136" s="1729"/>
      <c r="S136" s="2531">
        <f>'Part III-A-Uses of Funds'!S26</f>
        <v>133000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1330000</v>
      </c>
      <c r="H138" s="2531"/>
      <c r="I138" s="1729"/>
      <c r="J138" s="2531">
        <f>SUM(J136:J137)</f>
        <v>0</v>
      </c>
      <c r="K138" s="2531"/>
      <c r="L138" s="2520"/>
      <c r="M138" s="2531">
        <f>M136</f>
        <v>0</v>
      </c>
      <c r="N138" s="2531"/>
      <c r="O138" s="1729"/>
      <c r="P138" s="2531">
        <f>P136</f>
        <v>1197000</v>
      </c>
      <c r="Q138" s="2531"/>
      <c r="R138" s="1729"/>
      <c r="S138" s="2531">
        <f>SUM(S136:S137)</f>
        <v>133000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5319800</v>
      </c>
      <c r="H141" s="2531"/>
      <c r="I141" s="1729"/>
      <c r="J141" s="2531">
        <f>'Part III-A-Uses of Funds'!J31</f>
        <v>0</v>
      </c>
      <c r="K141" s="2531"/>
      <c r="L141" s="2520"/>
      <c r="M141" s="2531">
        <f>'Part III-A-Uses of Funds'!M31</f>
        <v>0</v>
      </c>
      <c r="N141" s="2531"/>
      <c r="O141" s="1729"/>
      <c r="P141" s="2531">
        <f>'Part III-A-Uses of Funds'!P31</f>
        <v>5319800</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380200</v>
      </c>
      <c r="H144" s="2531"/>
      <c r="I144" s="1729"/>
      <c r="J144" s="2531">
        <f>'Part III-A-Uses of Funds'!J34</f>
        <v>0</v>
      </c>
      <c r="K144" s="2531"/>
      <c r="L144" s="2520"/>
      <c r="M144" s="2531">
        <f>'Part III-A-Uses of Funds'!M34</f>
        <v>0</v>
      </c>
      <c r="N144" s="2531"/>
      <c r="O144" s="1729"/>
      <c r="P144" s="2531">
        <f>'Part III-A-Uses of Funds'!P34</f>
        <v>380200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5700000</v>
      </c>
      <c r="H146" s="2531"/>
      <c r="I146" s="1729"/>
      <c r="J146" s="2531">
        <f>SUM(J140:J145)</f>
        <v>0</v>
      </c>
      <c r="K146" s="2531"/>
      <c r="L146" s="2520"/>
      <c r="M146" s="2531">
        <f>SUM(M140:M145)</f>
        <v>0</v>
      </c>
      <c r="N146" s="2531"/>
      <c r="O146" s="1729"/>
      <c r="P146" s="2531">
        <f>SUM(P140:P145)</f>
        <v>5700000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421800</v>
      </c>
      <c r="F148" s="2564">
        <f>IF(($G$28+$G$36)=0,0,G148/($G$28+$G$36))</f>
        <v>0</v>
      </c>
      <c r="G148" s="2531">
        <f>'Part III-A-Uses of Funds'!G38</f>
        <v>421800</v>
      </c>
      <c r="H148" s="2531"/>
      <c r="I148" s="377"/>
      <c r="J148" s="2531">
        <f>'Part III-A-Uses of Funds'!J38</f>
        <v>0</v>
      </c>
      <c r="K148" s="2531"/>
      <c r="L148" s="2520"/>
      <c r="M148" s="2531">
        <f>'Part III-A-Uses of Funds'!M38</f>
        <v>0</v>
      </c>
      <c r="N148" s="2531"/>
      <c r="O148" s="1729"/>
      <c r="P148" s="2531">
        <f>'Part III-A-Uses of Funds'!P38</f>
        <v>421800</v>
      </c>
      <c r="Q148" s="2531"/>
      <c r="R148" s="1729"/>
      <c r="S148" s="2531">
        <f>'Part III-A-Uses of Funds'!S38</f>
        <v>0</v>
      </c>
      <c r="T148" s="2531"/>
    </row>
    <row r="149" spans="1:20" ht="13.5">
      <c r="A149" s="1729"/>
      <c r="B149" s="1729" t="s">
        <v>2468</v>
      </c>
      <c r="C149" s="1729"/>
      <c r="D149" s="2564">
        <f>'DCA Underwriting Assumptions'!$R$53</f>
        <v>0.02</v>
      </c>
      <c r="E149" s="2565">
        <f>ROUNDDOWN(D149*(G138+G146),0)</f>
        <v>140600</v>
      </c>
      <c r="F149" s="2564">
        <f>IF(($G$28+$G$36)=0,0,G149/($G$28+$G$36))</f>
        <v>0</v>
      </c>
      <c r="G149" s="2531">
        <f>'Part III-A-Uses of Funds'!G39</f>
        <v>140600</v>
      </c>
      <c r="H149" s="2531"/>
      <c r="I149" s="377"/>
      <c r="J149" s="2531">
        <f>'Part III-A-Uses of Funds'!J39</f>
        <v>0</v>
      </c>
      <c r="K149" s="2531"/>
      <c r="L149" s="2520"/>
      <c r="M149" s="2531">
        <f>'Part III-A-Uses of Funds'!M39</f>
        <v>0</v>
      </c>
      <c r="N149" s="2531"/>
      <c r="O149" s="1729"/>
      <c r="P149" s="2531">
        <f>'Part III-A-Uses of Funds'!P39</f>
        <v>140600</v>
      </c>
      <c r="Q149" s="2531"/>
      <c r="R149" s="1729"/>
      <c r="S149" s="2531">
        <f>'Part III-A-Uses of Funds'!S39</f>
        <v>0</v>
      </c>
      <c r="T149" s="2531"/>
    </row>
    <row r="150" spans="1:20" ht="13.5">
      <c r="A150" s="1729"/>
      <c r="B150" s="1729" t="s">
        <v>2469</v>
      </c>
      <c r="C150" s="1729"/>
      <c r="D150" s="2564">
        <f>'DCA Underwriting Assumptions'!$R$54</f>
        <v>0.06</v>
      </c>
      <c r="E150" s="2565">
        <f>ROUNDDOWN(D150*(G138+G146),0)</f>
        <v>421800</v>
      </c>
      <c r="F150" s="2564">
        <f>IF(($G$28+$G$36)=0,0,G150/($G$28+$G$36))</f>
        <v>0</v>
      </c>
      <c r="G150" s="2531">
        <f>'Part III-A-Uses of Funds'!G40</f>
        <v>421800</v>
      </c>
      <c r="H150" s="2531"/>
      <c r="I150" s="377"/>
      <c r="J150" s="2531">
        <f>'Part III-A-Uses of Funds'!J40</f>
        <v>0</v>
      </c>
      <c r="K150" s="2531"/>
      <c r="L150" s="2520"/>
      <c r="M150" s="2531">
        <f>'Part III-A-Uses of Funds'!M40</f>
        <v>0</v>
      </c>
      <c r="N150" s="2531"/>
      <c r="O150" s="1729"/>
      <c r="P150" s="2531">
        <f>'Part III-A-Uses of Funds'!P40</f>
        <v>421800</v>
      </c>
      <c r="Q150" s="2531"/>
      <c r="R150" s="1729"/>
      <c r="S150" s="2531">
        <f>'Part III-A-Uses of Funds'!S40</f>
        <v>0</v>
      </c>
      <c r="T150" s="2531"/>
    </row>
    <row r="151" spans="1:20" ht="13.5">
      <c r="A151" s="1729"/>
      <c r="B151" s="2507" t="s">
        <v>3141</v>
      </c>
      <c r="C151" s="1729"/>
      <c r="D151" s="2562">
        <f>SUM(D148:D150)</f>
        <v>0.14000000000000001</v>
      </c>
      <c r="E151" s="2566">
        <f>SUM(E148:E150)</f>
        <v>984200</v>
      </c>
      <c r="F151" s="2555" t="s">
        <v>184</v>
      </c>
      <c r="G151" s="2531">
        <f>SUM(G148:G150)</f>
        <v>984200</v>
      </c>
      <c r="H151" s="2531"/>
      <c r="I151" s="1729"/>
      <c r="J151" s="2531">
        <f>SUM(J148:J150)</f>
        <v>0</v>
      </c>
      <c r="K151" s="2531"/>
      <c r="L151" s="2520"/>
      <c r="M151" s="2531">
        <f>SUM(M148:M150)</f>
        <v>0</v>
      </c>
      <c r="N151" s="2531"/>
      <c r="O151" s="1729"/>
      <c r="P151" s="2531">
        <f>SUM(P148:P150)</f>
        <v>984200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8014200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5060</v>
      </c>
      <c r="C158" s="2570"/>
      <c r="D158" s="1729"/>
      <c r="E158" s="2501" t="s">
        <v>2471</v>
      </c>
      <c r="F158" s="2571">
        <f>C159/'Part V-Revenues &amp; Expenses'!$P$65</f>
        <v>105450</v>
      </c>
      <c r="G158" s="2572" t="s">
        <v>5061</v>
      </c>
      <c r="H158" s="1729"/>
      <c r="I158" s="1729"/>
      <c r="J158" s="2573">
        <f>C159/'Part V-Revenues &amp; Expenses'!$P$67</f>
        <v>105450</v>
      </c>
      <c r="K158" s="2573"/>
      <c r="L158" s="1729"/>
      <c r="M158" s="2574" t="s">
        <v>4373</v>
      </c>
      <c r="N158" s="2574"/>
      <c r="O158" s="1729"/>
      <c r="P158" s="2573">
        <f>C159/'Part V-Revenues &amp; Expenses'!$K$179</f>
        <v>83.78059107017782</v>
      </c>
      <c r="Q158" s="2573"/>
      <c r="R158" s="1729"/>
      <c r="S158" s="2575" t="s">
        <v>4375</v>
      </c>
      <c r="T158" s="2575"/>
    </row>
    <row r="159" spans="1:20" ht="13.5">
      <c r="A159" s="1729"/>
      <c r="B159" s="2576" t="s">
        <v>4386</v>
      </c>
      <c r="C159" s="2577">
        <f>G138+G146+G151+G156</f>
        <v>8014200</v>
      </c>
      <c r="D159" s="1729"/>
      <c r="E159" s="2501"/>
      <c r="F159" s="2571">
        <f>C159/'Part V-Revenues &amp; Expenses'!$P$170</f>
        <v>86.700924974306275</v>
      </c>
      <c r="G159" s="2575" t="s">
        <v>5062</v>
      </c>
      <c r="H159" s="1729"/>
      <c r="I159" s="1729"/>
      <c r="J159" s="2573">
        <f>C159/'Part V-Revenues &amp; Expenses'!$P$172</f>
        <v>86.700924974306275</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801420</v>
      </c>
      <c r="F165" s="2539">
        <f>G165/C159</f>
        <v>0.1</v>
      </c>
      <c r="G165" s="2531">
        <f>'Part III-A-Uses of Funds'!G55</f>
        <v>801420</v>
      </c>
      <c r="H165" s="2531"/>
      <c r="I165" s="1729"/>
      <c r="J165" s="2531">
        <f>'Part III-A-Uses of Funds'!J55</f>
        <v>0</v>
      </c>
      <c r="K165" s="2531"/>
      <c r="L165" s="2520"/>
      <c r="M165" s="2531">
        <f>'Part III-A-Uses of Funds'!M55</f>
        <v>0</v>
      </c>
      <c r="N165" s="2531"/>
      <c r="O165" s="1729"/>
      <c r="P165" s="2531">
        <f>'Part III-A-Uses of Funds'!P55</f>
        <v>801420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4195</v>
      </c>
      <c r="C167" s="2570"/>
      <c r="D167" s="1729"/>
      <c r="E167" s="2501" t="s">
        <v>4196</v>
      </c>
      <c r="F167" s="2571">
        <f>B168/'Part V-Revenues &amp; Expenses'!$P$65</f>
        <v>115995</v>
      </c>
      <c r="G167" s="2572" t="s">
        <v>5061</v>
      </c>
      <c r="H167" s="1729"/>
      <c r="I167" s="1729"/>
      <c r="J167" s="2573">
        <f>B168/'Part V-Revenues &amp; Expenses'!$P$67</f>
        <v>115995</v>
      </c>
      <c r="K167" s="2573"/>
      <c r="L167" s="1729"/>
      <c r="M167" s="2574" t="s">
        <v>4373</v>
      </c>
      <c r="N167" s="2574"/>
      <c r="O167" s="1729"/>
      <c r="P167" s="2573">
        <f>B168/'Part V-Revenues &amp; Expenses'!$K$179</f>
        <v>92.158650177195611</v>
      </c>
      <c r="Q167" s="2573"/>
      <c r="R167" s="1729"/>
      <c r="S167" s="2575" t="s">
        <v>4375</v>
      </c>
      <c r="T167" s="2575"/>
    </row>
    <row r="168" spans="1:20">
      <c r="A168" s="1729"/>
      <c r="B168" s="2577">
        <f>C159+G165</f>
        <v>8815620</v>
      </c>
      <c r="C168" s="2577"/>
      <c r="D168" s="1729"/>
      <c r="E168" s="2501"/>
      <c r="F168" s="2571">
        <f>B168/'Part V-Revenues &amp; Expenses'!$P$170</f>
        <v>95.371017471736891</v>
      </c>
      <c r="G168" s="2575" t="s">
        <v>5062</v>
      </c>
      <c r="H168" s="1729"/>
      <c r="I168" s="1729"/>
      <c r="J168" s="2573">
        <f>B168/'Part V-Revenues &amp; Expenses'!$P$172</f>
        <v>95.371017471736891</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121651</v>
      </c>
      <c r="H173" s="2531"/>
      <c r="I173" s="1729"/>
      <c r="J173" s="2531">
        <f>'Part III-A-Uses of Funds'!J63</f>
        <v>0</v>
      </c>
      <c r="K173" s="2531"/>
      <c r="L173" s="2520"/>
      <c r="M173" s="2531">
        <f>'Part III-A-Uses of Funds'!M63</f>
        <v>0</v>
      </c>
      <c r="N173" s="2531"/>
      <c r="O173" s="1729"/>
      <c r="P173" s="2531">
        <f>'Part III-A-Uses of Funds'!P63</f>
        <v>121651</v>
      </c>
      <c r="Q173" s="2531"/>
      <c r="R173" s="1729"/>
      <c r="S173" s="2531">
        <f>'Part III-A-Uses of Funds'!S63</f>
        <v>0</v>
      </c>
      <c r="T173" s="2531"/>
    </row>
    <row r="174" spans="1:20">
      <c r="A174" s="1729"/>
      <c r="B174" s="1729" t="s">
        <v>2161</v>
      </c>
      <c r="C174" s="1729"/>
      <c r="D174" s="1729"/>
      <c r="E174" s="1729"/>
      <c r="F174" s="1729"/>
      <c r="G174" s="2531">
        <f>'Part III-A-Uses of Funds'!G64</f>
        <v>963602</v>
      </c>
      <c r="H174" s="2531"/>
      <c r="I174" s="1729"/>
      <c r="J174" s="2531">
        <f>'Part III-A-Uses of Funds'!J64</f>
        <v>0</v>
      </c>
      <c r="K174" s="2531"/>
      <c r="L174" s="2520"/>
      <c r="M174" s="2531">
        <f>'Part III-A-Uses of Funds'!M64</f>
        <v>0</v>
      </c>
      <c r="N174" s="2531"/>
      <c r="O174" s="1729"/>
      <c r="P174" s="2531">
        <f>'Part III-A-Uses of Funds'!P64</f>
        <v>501612</v>
      </c>
      <c r="Q174" s="2531"/>
      <c r="R174" s="1729"/>
      <c r="S174" s="2531">
        <f>'Part III-A-Uses of Funds'!S64</f>
        <v>461990</v>
      </c>
      <c r="T174" s="2531"/>
    </row>
    <row r="175" spans="1:20">
      <c r="A175" s="1729"/>
      <c r="B175" s="1729" t="s">
        <v>2162</v>
      </c>
      <c r="C175" s="1729"/>
      <c r="D175" s="1729"/>
      <c r="E175" s="1729"/>
      <c r="F175" s="1729"/>
      <c r="G175" s="2531">
        <f>'Part III-A-Uses of Funds'!G65</f>
        <v>40000</v>
      </c>
      <c r="H175" s="2531"/>
      <c r="I175" s="1729"/>
      <c r="J175" s="2531">
        <f>'Part III-A-Uses of Funds'!J65</f>
        <v>0</v>
      </c>
      <c r="K175" s="2531"/>
      <c r="L175" s="2520"/>
      <c r="M175" s="2531">
        <f>'Part III-A-Uses of Funds'!M65</f>
        <v>0</v>
      </c>
      <c r="N175" s="2531"/>
      <c r="O175" s="1729"/>
      <c r="P175" s="2531">
        <f>'Part III-A-Uses of Funds'!P65</f>
        <v>40000</v>
      </c>
      <c r="Q175" s="2531"/>
      <c r="R175" s="1729"/>
      <c r="S175" s="2531">
        <f>'Part III-A-Uses of Funds'!S65</f>
        <v>0</v>
      </c>
      <c r="T175" s="2531"/>
    </row>
    <row r="176" spans="1:20">
      <c r="A176" s="1729"/>
      <c r="B176" s="1729" t="s">
        <v>2443</v>
      </c>
      <c r="C176" s="1729"/>
      <c r="D176" s="1729"/>
      <c r="E176" s="1729"/>
      <c r="F176" s="1729"/>
      <c r="G176" s="2531">
        <f>'Part III-A-Uses of Funds'!G66</f>
        <v>15000</v>
      </c>
      <c r="H176" s="2531"/>
      <c r="I176" s="1729"/>
      <c r="J176" s="2531">
        <f>'Part III-A-Uses of Funds'!J66</f>
        <v>0</v>
      </c>
      <c r="K176" s="2531"/>
      <c r="L176" s="2520"/>
      <c r="M176" s="2531">
        <f>'Part III-A-Uses of Funds'!M66</f>
        <v>0</v>
      </c>
      <c r="N176" s="2531"/>
      <c r="O176" s="1729"/>
      <c r="P176" s="2531">
        <f>'Part III-A-Uses of Funds'!P66</f>
        <v>15000</v>
      </c>
      <c r="Q176" s="2531"/>
      <c r="R176" s="1729"/>
      <c r="S176" s="2531">
        <f>'Part III-A-Uses of Funds'!S66</f>
        <v>0</v>
      </c>
      <c r="T176" s="2531"/>
    </row>
    <row r="177" spans="1:20">
      <c r="A177" s="1729"/>
      <c r="B177" s="1729" t="s">
        <v>675</v>
      </c>
      <c r="C177" s="1729"/>
      <c r="D177" s="1729"/>
      <c r="E177" s="1729"/>
      <c r="F177" s="1729"/>
      <c r="G177" s="2531">
        <f>'Part III-A-Uses of Funds'!G67</f>
        <v>30000</v>
      </c>
      <c r="H177" s="2531"/>
      <c r="I177" s="1729"/>
      <c r="J177" s="2531">
        <f>'Part III-A-Uses of Funds'!J67</f>
        <v>0</v>
      </c>
      <c r="K177" s="2531"/>
      <c r="L177" s="2520"/>
      <c r="M177" s="2531">
        <f>'Part III-A-Uses of Funds'!M67</f>
        <v>0</v>
      </c>
      <c r="N177" s="2531"/>
      <c r="O177" s="1729"/>
      <c r="P177" s="2531">
        <f>'Part III-A-Uses of Funds'!P67</f>
        <v>30000</v>
      </c>
      <c r="Q177" s="2531"/>
      <c r="R177" s="1729"/>
      <c r="S177" s="2531">
        <f>'Part III-A-Uses of Funds'!S67</f>
        <v>0</v>
      </c>
      <c r="T177" s="2531"/>
    </row>
    <row r="178" spans="1:20">
      <c r="A178" s="1729"/>
      <c r="B178" s="1729" t="s">
        <v>2163</v>
      </c>
      <c r="C178" s="1729"/>
      <c r="D178" s="1729"/>
      <c r="E178" s="1729"/>
      <c r="F178" s="1729"/>
      <c r="G178" s="2531">
        <f>'Part III-A-Uses of Funds'!G68</f>
        <v>50000</v>
      </c>
      <c r="H178" s="2531"/>
      <c r="I178" s="1729"/>
      <c r="J178" s="2531">
        <f>'Part III-A-Uses of Funds'!J68</f>
        <v>0</v>
      </c>
      <c r="K178" s="2531"/>
      <c r="L178" s="2520"/>
      <c r="M178" s="2531">
        <f>'Part III-A-Uses of Funds'!M68</f>
        <v>0</v>
      </c>
      <c r="N178" s="2531"/>
      <c r="O178" s="1729"/>
      <c r="P178" s="2531">
        <f>'Part III-A-Uses of Funds'!P68</f>
        <v>50000</v>
      </c>
      <c r="Q178" s="2531"/>
      <c r="R178" s="1729"/>
      <c r="S178" s="2531">
        <f>'Part III-A-Uses of Funds'!S68</f>
        <v>0</v>
      </c>
      <c r="T178" s="2531"/>
    </row>
    <row r="179" spans="1:20">
      <c r="A179" s="1729"/>
      <c r="B179" s="1729" t="s">
        <v>1198</v>
      </c>
      <c r="C179" s="1729"/>
      <c r="D179" s="1729"/>
      <c r="E179" s="1729"/>
      <c r="F179" s="1729"/>
      <c r="G179" s="2531">
        <f>'Part III-A-Uses of Funds'!G69</f>
        <v>50000</v>
      </c>
      <c r="H179" s="2531"/>
      <c r="I179" s="1729"/>
      <c r="J179" s="2531">
        <f>'Part III-A-Uses of Funds'!J69</f>
        <v>0</v>
      </c>
      <c r="K179" s="2531"/>
      <c r="L179" s="2520"/>
      <c r="M179" s="2531">
        <f>'Part III-A-Uses of Funds'!M69</f>
        <v>0</v>
      </c>
      <c r="N179" s="2531"/>
      <c r="O179" s="1729"/>
      <c r="P179" s="2531">
        <f>'Part III-A-Uses of Funds'!P69</f>
        <v>25000</v>
      </c>
      <c r="Q179" s="2531"/>
      <c r="R179" s="1729"/>
      <c r="S179" s="2531">
        <f>'Part III-A-Uses of Funds'!S69</f>
        <v>25000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1270253</v>
      </c>
      <c r="H183" s="2531"/>
      <c r="I183" s="1729"/>
      <c r="J183" s="2531">
        <f>SUM(J171:J182)</f>
        <v>0</v>
      </c>
      <c r="K183" s="2531"/>
      <c r="L183" s="2520"/>
      <c r="M183" s="2531">
        <f>SUM(M171:M182)</f>
        <v>0</v>
      </c>
      <c r="N183" s="2531"/>
      <c r="O183" s="1729"/>
      <c r="P183" s="2531">
        <f>SUM(P171:P182)</f>
        <v>783263</v>
      </c>
      <c r="Q183" s="2531"/>
      <c r="R183" s="1729"/>
      <c r="S183" s="2531">
        <f>SUM(S171:S182)</f>
        <v>486990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190000</v>
      </c>
      <c r="H185" s="2531"/>
      <c r="I185" s="1729"/>
      <c r="J185" s="2531">
        <f>'Part III-A-Uses of Funds'!J75</f>
        <v>0</v>
      </c>
      <c r="K185" s="2531"/>
      <c r="L185" s="2520"/>
      <c r="M185" s="2531">
        <f>'Part III-A-Uses of Funds'!M75</f>
        <v>0</v>
      </c>
      <c r="N185" s="2531"/>
      <c r="O185" s="1729"/>
      <c r="P185" s="2531">
        <f>'Part III-A-Uses of Funds'!P75</f>
        <v>190000</v>
      </c>
      <c r="Q185" s="2531"/>
      <c r="R185" s="1729"/>
      <c r="S185" s="2531">
        <f>'Part III-A-Uses of Funds'!S75</f>
        <v>0</v>
      </c>
      <c r="T185" s="2531"/>
    </row>
    <row r="186" spans="1:20">
      <c r="A186" s="1729"/>
      <c r="B186" s="1729" t="s">
        <v>450</v>
      </c>
      <c r="C186" s="1729"/>
      <c r="D186" s="1729"/>
      <c r="E186" s="1729"/>
      <c r="F186" s="1729"/>
      <c r="G186" s="2531">
        <f>'Part III-A-Uses of Funds'!G76</f>
        <v>76000</v>
      </c>
      <c r="H186" s="2531"/>
      <c r="I186" s="1729"/>
      <c r="J186" s="2531">
        <f>'Part III-A-Uses of Funds'!J76</f>
        <v>0</v>
      </c>
      <c r="K186" s="2531"/>
      <c r="L186" s="2520"/>
      <c r="M186" s="2531">
        <f>'Part III-A-Uses of Funds'!M76</f>
        <v>0</v>
      </c>
      <c r="N186" s="2531"/>
      <c r="O186" s="1729"/>
      <c r="P186" s="2531">
        <f>'Part III-A-Uses of Funds'!P76</f>
        <v>76000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0</v>
      </c>
      <c r="K187" s="2531"/>
      <c r="L187" s="2520"/>
      <c r="M187" s="2531">
        <f>'Part III-A-Uses of Funds'!M77</f>
        <v>0</v>
      </c>
      <c r="N187" s="2531"/>
      <c r="O187" s="1729"/>
      <c r="P187" s="2531">
        <f>'Part III-A-Uses of Funds'!P77</f>
        <v>20000</v>
      </c>
      <c r="Q187" s="2531"/>
      <c r="R187" s="1729"/>
      <c r="S187" s="2531">
        <f>'Part III-A-Uses of Funds'!S77</f>
        <v>0</v>
      </c>
      <c r="T187" s="2531"/>
    </row>
    <row r="188" spans="1:20">
      <c r="A188" s="1729"/>
      <c r="B188" s="1729" t="s">
        <v>1061</v>
      </c>
      <c r="C188" s="1729"/>
      <c r="D188" s="1729"/>
      <c r="E188" s="1729"/>
      <c r="F188" s="1729"/>
      <c r="G188" s="2531">
        <f>'Part III-A-Uses of Funds'!G78</f>
        <v>15000</v>
      </c>
      <c r="H188" s="2531"/>
      <c r="I188" s="1729"/>
      <c r="J188" s="2531">
        <f>'Part III-A-Uses of Funds'!J78</f>
        <v>0</v>
      </c>
      <c r="K188" s="2531"/>
      <c r="L188" s="2520"/>
      <c r="M188" s="2531">
        <f>'Part III-A-Uses of Funds'!M78</f>
        <v>0</v>
      </c>
      <c r="N188" s="2531"/>
      <c r="O188" s="1729"/>
      <c r="P188" s="2531">
        <f>'Part III-A-Uses of Funds'!P78</f>
        <v>15000</v>
      </c>
      <c r="Q188" s="2531"/>
      <c r="R188" s="1729"/>
      <c r="S188" s="2531">
        <f>'Part III-A-Uses of Funds'!S78</f>
        <v>0</v>
      </c>
      <c r="T188" s="2531"/>
    </row>
    <row r="189" spans="1:20">
      <c r="A189" s="1729"/>
      <c r="B189" s="1729" t="s">
        <v>1062</v>
      </c>
      <c r="C189" s="1729"/>
      <c r="D189" s="1729"/>
      <c r="E189" s="1729"/>
      <c r="F189" s="1729"/>
      <c r="G189" s="2531">
        <f>'Part III-A-Uses of Funds'!G79</f>
        <v>15000</v>
      </c>
      <c r="H189" s="2531"/>
      <c r="I189" s="1729"/>
      <c r="J189" s="2531">
        <f>'Part III-A-Uses of Funds'!J79</f>
        <v>0</v>
      </c>
      <c r="K189" s="2531"/>
      <c r="L189" s="2520"/>
      <c r="M189" s="2531">
        <f>'Part III-A-Uses of Funds'!M79</f>
        <v>0</v>
      </c>
      <c r="N189" s="2531"/>
      <c r="O189" s="1729"/>
      <c r="P189" s="2531">
        <f>'Part III-A-Uses of Funds'!P79</f>
        <v>15000</v>
      </c>
      <c r="Q189" s="2531"/>
      <c r="R189" s="1729"/>
      <c r="S189" s="2531">
        <f>'Part III-A-Uses of Funds'!S79</f>
        <v>0</v>
      </c>
      <c r="T189" s="2531"/>
    </row>
    <row r="190" spans="1:20">
      <c r="A190" s="1729"/>
      <c r="B190" s="1729" t="s">
        <v>1063</v>
      </c>
      <c r="C190" s="1729"/>
      <c r="D190" s="1729"/>
      <c r="E190" s="1729"/>
      <c r="F190" s="1729"/>
      <c r="G190" s="2531">
        <f>'Part III-A-Uses of Funds'!G80</f>
        <v>20000</v>
      </c>
      <c r="H190" s="2531"/>
      <c r="I190" s="1729"/>
      <c r="J190" s="2531">
        <f>'Part III-A-Uses of Funds'!J80</f>
        <v>0</v>
      </c>
      <c r="K190" s="2531"/>
      <c r="L190" s="2520"/>
      <c r="M190" s="2531">
        <f>'Part III-A-Uses of Funds'!M80</f>
        <v>0</v>
      </c>
      <c r="N190" s="2531"/>
      <c r="O190" s="1729"/>
      <c r="P190" s="2531">
        <f>'Part III-A-Uses of Funds'!P80</f>
        <v>20000</v>
      </c>
      <c r="Q190" s="2531"/>
      <c r="R190" s="1729"/>
      <c r="S190" s="2531">
        <f>'Part III-A-Uses of Funds'!S80</f>
        <v>0</v>
      </c>
      <c r="T190" s="2531"/>
    </row>
    <row r="191" spans="1:20">
      <c r="A191" s="1729"/>
      <c r="B191" s="1729" t="s">
        <v>451</v>
      </c>
      <c r="C191" s="1729"/>
      <c r="D191" s="1729"/>
      <c r="E191" s="1729"/>
      <c r="F191" s="1729"/>
      <c r="G191" s="2531">
        <f>'Part III-A-Uses of Funds'!G81</f>
        <v>30000</v>
      </c>
      <c r="H191" s="2531"/>
      <c r="I191" s="1729"/>
      <c r="J191" s="2531">
        <f>'Part III-A-Uses of Funds'!J81</f>
        <v>0</v>
      </c>
      <c r="K191" s="2531"/>
      <c r="L191" s="2520"/>
      <c r="M191" s="2531">
        <f>'Part III-A-Uses of Funds'!M81</f>
        <v>0</v>
      </c>
      <c r="N191" s="2531"/>
      <c r="O191" s="1729"/>
      <c r="P191" s="2531">
        <f>'Part III-A-Uses of Funds'!P81</f>
        <v>30000</v>
      </c>
      <c r="Q191" s="2531"/>
      <c r="R191" s="1729"/>
      <c r="S191" s="2531">
        <f>'Part III-A-Uses of Funds'!S81</f>
        <v>0</v>
      </c>
      <c r="T191" s="2531"/>
    </row>
    <row r="192" spans="1:20">
      <c r="A192" s="1729"/>
      <c r="B192" s="1729" t="s">
        <v>452</v>
      </c>
      <c r="C192" s="1729"/>
      <c r="D192" s="1729"/>
      <c r="E192" s="1729"/>
      <c r="F192" s="1729"/>
      <c r="G192" s="2531">
        <f>'Part III-A-Uses of Funds'!G82</f>
        <v>50000</v>
      </c>
      <c r="H192" s="2531"/>
      <c r="I192" s="1729"/>
      <c r="J192" s="2531">
        <f>'Part III-A-Uses of Funds'!J82</f>
        <v>0</v>
      </c>
      <c r="K192" s="2531"/>
      <c r="L192" s="2520"/>
      <c r="M192" s="2531">
        <f>'Part III-A-Uses of Funds'!M82</f>
        <v>0</v>
      </c>
      <c r="N192" s="2531"/>
      <c r="O192" s="1729"/>
      <c r="P192" s="2531">
        <f>'Part III-A-Uses of Funds'!P82</f>
        <v>25000</v>
      </c>
      <c r="Q192" s="2531"/>
      <c r="R192" s="1729"/>
      <c r="S192" s="2531">
        <f>'Part III-A-Uses of Funds'!S82</f>
        <v>25000</v>
      </c>
      <c r="T192" s="2531"/>
    </row>
    <row r="193" spans="1:20">
      <c r="A193" s="1729"/>
      <c r="B193" s="1729" t="s">
        <v>1894</v>
      </c>
      <c r="C193" s="1729"/>
      <c r="D193" s="1729"/>
      <c r="E193" s="1729"/>
      <c r="F193" s="1729"/>
      <c r="G193" s="2531">
        <f>'Part III-A-Uses of Funds'!G83</f>
        <v>35000</v>
      </c>
      <c r="H193" s="2531"/>
      <c r="I193" s="1729"/>
      <c r="J193" s="2531">
        <f>'Part III-A-Uses of Funds'!J83</f>
        <v>0</v>
      </c>
      <c r="K193" s="2531"/>
      <c r="L193" s="2520"/>
      <c r="M193" s="2531">
        <f>'Part III-A-Uses of Funds'!M83</f>
        <v>0</v>
      </c>
      <c r="N193" s="2531"/>
      <c r="O193" s="1729"/>
      <c r="P193" s="2531">
        <f>'Part III-A-Uses of Funds'!P83</f>
        <v>35000</v>
      </c>
      <c r="Q193" s="2531"/>
      <c r="R193" s="1729"/>
      <c r="S193" s="2531">
        <f>'Part III-A-Uses of Funds'!S83</f>
        <v>0</v>
      </c>
      <c r="T193" s="2531"/>
    </row>
    <row r="194" spans="1:20">
      <c r="A194" s="1729"/>
      <c r="B194" s="1729" t="s">
        <v>1199</v>
      </c>
      <c r="C194" s="1729"/>
      <c r="D194" s="1729"/>
      <c r="E194" s="1729"/>
      <c r="F194" s="1729"/>
      <c r="G194" s="2531">
        <f>'Part III-A-Uses of Funds'!G84</f>
        <v>10000</v>
      </c>
      <c r="H194" s="2531"/>
      <c r="I194" s="1729"/>
      <c r="J194" s="2531">
        <f>'Part III-A-Uses of Funds'!J84</f>
        <v>0</v>
      </c>
      <c r="K194" s="2531"/>
      <c r="L194" s="2520"/>
      <c r="M194" s="2531">
        <f>'Part III-A-Uses of Funds'!M84</f>
        <v>0</v>
      </c>
      <c r="N194" s="2531"/>
      <c r="O194" s="1729"/>
      <c r="P194" s="2531">
        <f>'Part III-A-Uses of Funds'!P84</f>
        <v>10000</v>
      </c>
      <c r="Q194" s="2531"/>
      <c r="R194" s="1729"/>
      <c r="S194" s="2531">
        <f>'Part III-A-Uses of Funds'!S84</f>
        <v>0</v>
      </c>
      <c r="T194" s="2531"/>
    </row>
    <row r="195" spans="1:20" ht="15.95"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461000</v>
      </c>
      <c r="H196" s="2531"/>
      <c r="I196" s="1729"/>
      <c r="J196" s="2531">
        <f>SUM(J185:J195)</f>
        <v>0</v>
      </c>
      <c r="K196" s="2531"/>
      <c r="L196" s="2520"/>
      <c r="M196" s="2531">
        <f>SUM(M185:M195)</f>
        <v>0</v>
      </c>
      <c r="N196" s="2531"/>
      <c r="O196" s="1729"/>
      <c r="P196" s="2531">
        <f>SUM(P185:P195)</f>
        <v>436000</v>
      </c>
      <c r="Q196" s="2531"/>
      <c r="R196" s="1729"/>
      <c r="S196" s="2531">
        <f>SUM(S185:S195)</f>
        <v>25000</v>
      </c>
      <c r="T196" s="2531"/>
    </row>
    <row r="197" spans="1:20">
      <c r="A197" s="1729"/>
      <c r="B197" s="2501" t="s">
        <v>1191</v>
      </c>
      <c r="C197" s="1729"/>
      <c r="D197" s="2584" t="s">
        <v>3144</v>
      </c>
      <c r="E197" s="2585">
        <f>G202/'Part V-Revenues &amp; Expenses'!$P$67</f>
        <v>328.94736842105266</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25000</v>
      </c>
      <c r="H198" s="2531"/>
      <c r="I198" s="1729"/>
      <c r="J198" s="2531">
        <f>'Part III-A-Uses of Funds'!J88</f>
        <v>0</v>
      </c>
      <c r="K198" s="2531"/>
      <c r="L198" s="2520"/>
      <c r="M198" s="2531">
        <f>'Part III-A-Uses of Funds'!M88</f>
        <v>0</v>
      </c>
      <c r="N198" s="2531"/>
      <c r="O198" s="1729"/>
      <c r="P198" s="2531">
        <f>'Part III-A-Uses of Funds'!P88</f>
        <v>25000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25000</v>
      </c>
      <c r="H202" s="2531"/>
      <c r="I202" s="1729"/>
      <c r="J202" s="2531">
        <f>SUM(J198:J201)</f>
        <v>0</v>
      </c>
      <c r="K202" s="2531"/>
      <c r="L202" s="2520"/>
      <c r="M202" s="2531">
        <f>SUM(M198:M201)</f>
        <v>0</v>
      </c>
      <c r="N202" s="2531"/>
      <c r="O202" s="1729"/>
      <c r="P202" s="2531">
        <f>SUM(P198:P201)</f>
        <v>25000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32000</v>
      </c>
      <c r="H207" s="2531"/>
      <c r="I207" s="1729"/>
      <c r="J207" s="2531"/>
      <c r="K207" s="2531"/>
      <c r="L207" s="2520"/>
      <c r="M207" s="2531"/>
      <c r="N207" s="2531"/>
      <c r="O207" s="1729"/>
      <c r="P207" s="2531"/>
      <c r="Q207" s="2531"/>
      <c r="R207" s="1729"/>
      <c r="S207" s="2531">
        <f>'Part III-A-Uses of Funds'!S97</f>
        <v>32000</v>
      </c>
      <c r="T207" s="2531"/>
    </row>
    <row r="208" spans="1:20">
      <c r="A208" s="1729"/>
      <c r="B208" s="1729" t="s">
        <v>1197</v>
      </c>
      <c r="C208" s="1729"/>
      <c r="D208" s="1729"/>
      <c r="E208" s="1729"/>
      <c r="F208" s="1729"/>
      <c r="G208" s="2531">
        <f>'Part III-A-Uses of Funds'!G98</f>
        <v>15000</v>
      </c>
      <c r="H208" s="2531"/>
      <c r="I208" s="1729"/>
      <c r="J208" s="2531"/>
      <c r="K208" s="2531"/>
      <c r="L208" s="2520"/>
      <c r="M208" s="2531"/>
      <c r="N208" s="2531"/>
      <c r="O208" s="1729"/>
      <c r="P208" s="2531"/>
      <c r="Q208" s="2531"/>
      <c r="R208" s="1729"/>
      <c r="S208" s="2531">
        <f>'Part III-A-Uses of Funds'!S98</f>
        <v>15000</v>
      </c>
      <c r="T208" s="2531"/>
    </row>
    <row r="209" spans="1:20">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57000</v>
      </c>
      <c r="H213" s="2531"/>
      <c r="I213" s="1729"/>
      <c r="J213" s="2531"/>
      <c r="K213" s="2531"/>
      <c r="L213" s="2520"/>
      <c r="M213" s="2531"/>
      <c r="N213" s="2531"/>
      <c r="O213" s="1729"/>
      <c r="P213" s="2531"/>
      <c r="Q213" s="2531"/>
      <c r="R213" s="1729"/>
      <c r="S213" s="2531">
        <f>SUM(S207:S212)</f>
        <v>57000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91600</v>
      </c>
      <c r="F218" s="2589"/>
      <c r="G218" s="2531">
        <f>'Part III-A-Uses of Funds'!G108</f>
        <v>91600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91600</v>
      </c>
      <c r="T218" s="2531"/>
    </row>
    <row r="219" spans="1:20">
      <c r="A219" s="1729"/>
      <c r="B219" s="1729" t="s">
        <v>701</v>
      </c>
      <c r="C219" s="1729"/>
      <c r="D219" s="1729"/>
      <c r="E219" s="2589">
        <f>AF221+AF225</f>
        <v>0</v>
      </c>
      <c r="F219" s="2589"/>
      <c r="G219" s="2531">
        <f>'Part III-A-Uses of Funds'!G109</f>
        <v>114000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114000</v>
      </c>
      <c r="T219" s="2531"/>
    </row>
    <row r="220" spans="1:20">
      <c r="A220" s="1729"/>
      <c r="B220" s="1729" t="s">
        <v>3361</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228600</v>
      </c>
      <c r="H224" s="2531"/>
      <c r="I224" s="1729"/>
      <c r="J224" s="2520"/>
      <c r="K224" s="2520"/>
      <c r="L224" s="2520"/>
      <c r="M224" s="2520"/>
      <c r="N224" s="2520"/>
      <c r="O224" s="1729"/>
      <c r="P224" s="2520"/>
      <c r="Q224" s="2520"/>
      <c r="R224" s="1729"/>
      <c r="S224" s="2531">
        <f>SUM(S215:S223)</f>
        <v>228600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30000</v>
      </c>
      <c r="H228" s="2531"/>
      <c r="I228" s="1729"/>
      <c r="J228" s="2531"/>
      <c r="K228" s="2531"/>
      <c r="L228" s="2520"/>
      <c r="M228" s="2531"/>
      <c r="N228" s="2531"/>
      <c r="O228" s="1729"/>
      <c r="P228" s="2531"/>
      <c r="Q228" s="2531"/>
      <c r="R228" s="1729"/>
      <c r="S228" s="2531">
        <f>'Part III-A-Uses of Funds'!S118</f>
        <v>30000</v>
      </c>
      <c r="T228" s="2531"/>
    </row>
    <row r="229" spans="1:20" ht="15.95"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33000</v>
      </c>
      <c r="H230" s="2531"/>
      <c r="I230" s="1729"/>
      <c r="J230" s="2531"/>
      <c r="K230" s="2531"/>
      <c r="L230" s="2520"/>
      <c r="M230" s="2531"/>
      <c r="N230" s="2531"/>
      <c r="O230" s="1729"/>
      <c r="P230" s="2531"/>
      <c r="Q230" s="2531"/>
      <c r="R230" s="1729"/>
      <c r="S230" s="2531">
        <f>SUM(S226:S229)</f>
        <v>33000</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382800</v>
      </c>
      <c r="H232" s="2531"/>
      <c r="I232" s="1729"/>
      <c r="J232" s="2531">
        <f>'Part III-A-Uses of Funds'!J122</f>
        <v>0</v>
      </c>
      <c r="K232" s="2531"/>
      <c r="L232" s="2556"/>
      <c r="M232" s="2531">
        <f>'Part III-A-Uses of Funds'!M122</f>
        <v>75208</v>
      </c>
      <c r="N232" s="2531"/>
      <c r="O232" s="1729"/>
      <c r="P232" s="2531">
        <f>'Part III-A-Uses of Funds'!P122</f>
        <v>307592</v>
      </c>
      <c r="Q232" s="2531"/>
      <c r="R232" s="1729"/>
      <c r="S232" s="2531">
        <f>'Part III-A-Uses of Funds'!S122</f>
        <v>0</v>
      </c>
      <c r="T232" s="2531"/>
    </row>
    <row r="233" spans="1:20">
      <c r="A233" s="1729"/>
      <c r="B233" s="1729" t="s">
        <v>3323</v>
      </c>
      <c r="C233" s="1729"/>
      <c r="D233" s="1729"/>
      <c r="E233" s="1729"/>
      <c r="F233" s="2593">
        <f>'Part III-A-Uses of Funds'!F123</f>
        <v>382800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1531200</v>
      </c>
      <c r="H236" s="2531"/>
      <c r="I236" s="1729"/>
      <c r="J236" s="2531">
        <f>'Part III-A-Uses of Funds'!J126</f>
        <v>0</v>
      </c>
      <c r="K236" s="2531"/>
      <c r="L236" s="2520"/>
      <c r="M236" s="2531">
        <f>'Part III-A-Uses of Funds'!M126</f>
        <v>300832</v>
      </c>
      <c r="N236" s="2531"/>
      <c r="O236" s="1729"/>
      <c r="P236" s="2531">
        <f>'Part III-A-Uses of Funds'!P126</f>
        <v>1230368</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1914000</v>
      </c>
      <c r="H237" s="2531"/>
      <c r="I237" s="1729"/>
      <c r="J237" s="2531">
        <f>SUM(J232:J236)</f>
        <v>0</v>
      </c>
      <c r="K237" s="2531"/>
      <c r="L237" s="2520"/>
      <c r="M237" s="2531">
        <f>SUM(M232:M236)</f>
        <v>376040</v>
      </c>
      <c r="N237" s="2531"/>
      <c r="O237" s="1729"/>
      <c r="P237" s="2531">
        <f>SUM(P232:P236)</f>
        <v>1537960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20000</v>
      </c>
      <c r="H239" s="2531"/>
      <c r="I239" s="1729"/>
      <c r="J239" s="2588"/>
      <c r="K239" s="2588"/>
      <c r="L239" s="2588"/>
      <c r="M239" s="2588"/>
      <c r="N239" s="2588"/>
      <c r="O239" s="1729"/>
      <c r="P239" s="2588"/>
      <c r="Q239" s="2588"/>
      <c r="R239" s="1729"/>
      <c r="S239" s="2531">
        <f>'Part III-A-Uses of Funds'!S129</f>
        <v>20000</v>
      </c>
      <c r="T239" s="2531"/>
    </row>
    <row r="240" spans="1:20">
      <c r="A240" s="1729"/>
      <c r="B240" s="1729" t="s">
        <v>1434</v>
      </c>
      <c r="C240" s="1729"/>
      <c r="D240" s="1729"/>
      <c r="E240" s="1729"/>
      <c r="F240" s="2598">
        <f>+'Part V-Revenues &amp; Expenses'!$Q$232*('DCA Underwriting Assumptions'!$Q$104/12)</f>
        <v>86991</v>
      </c>
      <c r="G240" s="2531">
        <f>'Part III-A-Uses of Funds'!G130</f>
        <v>86991</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86991</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300331.57973551127</v>
      </c>
      <c r="G241" s="2531">
        <f>'Part III-A-Uses of Funds'!G131</f>
        <v>300332</v>
      </c>
      <c r="H241" s="2531"/>
      <c r="I241" s="1729"/>
      <c r="J241" s="2599" t="str">
        <f>IF(E241&gt;G241,"WARNING! ODR proposed is below minimum - add comment.","")</f>
        <v/>
      </c>
      <c r="K241" s="2588"/>
      <c r="L241" s="2588"/>
      <c r="M241" s="2588"/>
      <c r="N241" s="2588"/>
      <c r="O241" s="1729"/>
      <c r="P241" s="2588"/>
      <c r="Q241" s="2588"/>
      <c r="R241" s="1729"/>
      <c r="S241" s="2531">
        <f>'Part III-A-Uses of Funds'!S131</f>
        <v>300332</v>
      </c>
      <c r="T241" s="2531"/>
    </row>
    <row r="242" spans="1:20">
      <c r="A242" s="1729"/>
      <c r="B242" s="1729" t="s">
        <v>1169</v>
      </c>
      <c r="C242" s="1729"/>
      <c r="D242" s="1729"/>
      <c r="E242" s="1729"/>
      <c r="F242" s="1729"/>
      <c r="G242" s="2531">
        <f>'Part III-A-Uses of Funds'!G132</f>
        <v>35720</v>
      </c>
      <c r="H242" s="2531"/>
      <c r="I242" s="1729"/>
      <c r="J242" s="2588"/>
      <c r="K242" s="2588"/>
      <c r="L242" s="2588"/>
      <c r="M242" s="2588"/>
      <c r="N242" s="2588"/>
      <c r="O242" s="1729"/>
      <c r="P242" s="2588"/>
      <c r="Q242" s="2588"/>
      <c r="R242" s="1729"/>
      <c r="S242" s="2531">
        <f>'Part III-A-Uses of Funds'!S132</f>
        <v>35720</v>
      </c>
      <c r="T242" s="2531"/>
    </row>
    <row r="243" spans="1:20">
      <c r="A243" s="1729"/>
      <c r="B243" s="1729" t="s">
        <v>1170</v>
      </c>
      <c r="C243" s="1729"/>
      <c r="D243" s="1729"/>
      <c r="E243" s="2557" t="s">
        <v>3053</v>
      </c>
      <c r="F243" s="2598">
        <f>IF('Part V-Revenues &amp; Expenses'!$P$67=0,0,G243/'Part V-Revenues &amp; Expenses'!$P$67)</f>
        <v>592.10526315789468</v>
      </c>
      <c r="G243" s="2531">
        <f>'Part III-A-Uses of Funds'!G133</f>
        <v>45000</v>
      </c>
      <c r="H243" s="2531"/>
      <c r="I243" s="1729"/>
      <c r="J243" s="2531">
        <f>'Part III-A-Uses of Funds'!J133</f>
        <v>0</v>
      </c>
      <c r="K243" s="2531"/>
      <c r="L243" s="2520"/>
      <c r="M243" s="2531">
        <f>'Part III-A-Uses of Funds'!M133</f>
        <v>0</v>
      </c>
      <c r="N243" s="2531"/>
      <c r="O243" s="1729"/>
      <c r="P243" s="2531">
        <f>'Part III-A-Uses of Funds'!P133</f>
        <v>45000</v>
      </c>
      <c r="Q243" s="2531"/>
      <c r="R243" s="1729"/>
      <c r="S243" s="2531">
        <f>'Part III-A-Uses of Funds'!S133</f>
        <v>0</v>
      </c>
      <c r="T243" s="2531"/>
    </row>
    <row r="244" spans="1:20" ht="15.95"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488043</v>
      </c>
      <c r="H245" s="2531"/>
      <c r="I245" s="1729"/>
      <c r="J245" s="2531">
        <f>SUM(J243:J244)</f>
        <v>0</v>
      </c>
      <c r="K245" s="2531"/>
      <c r="L245" s="2520"/>
      <c r="M245" s="2531">
        <f>SUM(M243:M244)</f>
        <v>0</v>
      </c>
      <c r="N245" s="2531"/>
      <c r="O245" s="1729"/>
      <c r="P245" s="2531">
        <f>SUM(P243:P244)</f>
        <v>45000</v>
      </c>
      <c r="Q245" s="2531"/>
      <c r="R245" s="1729"/>
      <c r="S245" s="2531">
        <f>SUM(S239:S244)</f>
        <v>443043</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500000</v>
      </c>
      <c r="H252" s="2531"/>
      <c r="I252" s="1729"/>
      <c r="J252" s="2531">
        <f>'Part III-A-Uses of Funds'!J142</f>
        <v>0</v>
      </c>
      <c r="K252" s="2531"/>
      <c r="L252" s="2556"/>
      <c r="M252" s="2531">
        <f>'Part III-A-Uses of Funds'!M142</f>
        <v>0</v>
      </c>
      <c r="N252" s="2531"/>
      <c r="O252" s="1729"/>
      <c r="P252" s="2531">
        <f>'Part III-A-Uses of Funds'!P142</f>
        <v>500000</v>
      </c>
      <c r="Q252" s="2531"/>
      <c r="R252" s="1729"/>
      <c r="S252" s="2531">
        <f>'Part III-A-Uses of Funds'!S142</f>
        <v>0</v>
      </c>
      <c r="T252" s="2531"/>
    </row>
    <row r="253" spans="1:20" ht="15.95"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500000</v>
      </c>
      <c r="H254" s="2531"/>
      <c r="I254" s="1729"/>
      <c r="J254" s="2531">
        <f>SUM(J252:J253)</f>
        <v>0</v>
      </c>
      <c r="K254" s="2531"/>
      <c r="L254" s="2520"/>
      <c r="M254" s="2531">
        <f>SUM(M252:M253)</f>
        <v>0</v>
      </c>
      <c r="N254" s="2531"/>
      <c r="O254" s="1729"/>
      <c r="P254" s="2531">
        <f>SUM(P252:P253)</f>
        <v>500000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5065</v>
      </c>
      <c r="C256" s="1729"/>
      <c r="D256" s="1729"/>
      <c r="E256" s="2557"/>
      <c r="F256" s="2605"/>
      <c r="G256" s="2553">
        <f>G128+G134+G138+G146+G151+G156+G165+G183+G196+G202+G213+G224+G230+G237+G245+G254</f>
        <v>17002516</v>
      </c>
      <c r="H256" s="2553"/>
      <c r="I256" s="1729"/>
      <c r="J256" s="2553">
        <f>J128+J134+J138+J146+J151+J156+J165+J183+J196+J202+J213+J224+J230+J237+J245+J254</f>
        <v>0</v>
      </c>
      <c r="K256" s="2553"/>
      <c r="L256" s="1729"/>
      <c r="M256" s="2553">
        <f>M128+M134+M138+M146+M151+M156+M165+M183+M196+M202+M213+M224+M230+M237+M245+M254</f>
        <v>2956040</v>
      </c>
      <c r="N256" s="2553"/>
      <c r="O256" s="1729"/>
      <c r="P256" s="2553">
        <f>P128+P134+P138+P146+P151+P156+P165+P183+P196+P202+P213+P224+P230+P237+P245+P254</f>
        <v>12089843</v>
      </c>
      <c r="Q256" s="2553"/>
      <c r="R256" s="1729"/>
      <c r="S256" s="2553">
        <f>S128+S134+S138+S146+S151+S156+S165+S183+S196+S202+S213+S224+S230+S237+S245+S254</f>
        <v>1956633</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5066</v>
      </c>
      <c r="C258" s="2570"/>
      <c r="D258" s="2607">
        <f>IF('Part V-Revenues &amp; Expenses'!$P$67=0,0,G256/'Part V-Revenues &amp; Expenses'!$P$67)</f>
        <v>223717.31578947368</v>
      </c>
      <c r="E258" s="2607"/>
      <c r="F258" s="2587" t="s">
        <v>2480</v>
      </c>
      <c r="G258" s="2607">
        <f>IF('Part V-Revenues &amp; Expenses'!$K$179=0,0,G256/'Part V-Revenues &amp; Expenses'!$K$179)</f>
        <v>177.74460834021556</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0</v>
      </c>
      <c r="K272" s="2536"/>
      <c r="L272" s="1729"/>
      <c r="M272" s="2536">
        <f>M256</f>
        <v>2956040</v>
      </c>
      <c r="N272" s="2536"/>
      <c r="O272" s="1729"/>
      <c r="P272" s="2536">
        <f>P256</f>
        <v>12089843</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0</v>
      </c>
      <c r="K274" s="2536"/>
      <c r="L274" s="1729"/>
      <c r="M274" s="2536">
        <f>M272</f>
        <v>2956040</v>
      </c>
      <c r="N274" s="2536"/>
      <c r="O274" s="1729"/>
      <c r="P274" s="2536">
        <f>P272-P273</f>
        <v>12089843</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1.3</v>
      </c>
      <c r="Q275" s="2613"/>
      <c r="R275" s="2507"/>
      <c r="S275" s="2507"/>
      <c r="T275" s="2507"/>
    </row>
    <row r="276" spans="1:20">
      <c r="A276" s="1729"/>
      <c r="B276" s="1729" t="s">
        <v>1898</v>
      </c>
      <c r="C276" s="1729"/>
      <c r="D276" s="1729"/>
      <c r="E276" s="1729"/>
      <c r="F276" s="1729"/>
      <c r="G276" s="1729"/>
      <c r="H276" s="1729"/>
      <c r="I276" s="1729"/>
      <c r="J276" s="2536">
        <f>J274*J275</f>
        <v>0</v>
      </c>
      <c r="K276" s="2536"/>
      <c r="L276" s="1729"/>
      <c r="M276" s="2536">
        <f>+M274</f>
        <v>2956040</v>
      </c>
      <c r="N276" s="2536"/>
      <c r="O276" s="1729"/>
      <c r="P276" s="2536">
        <f>P274*P275</f>
        <v>15716795.9</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0</v>
      </c>
      <c r="K278" s="2536"/>
      <c r="L278" s="1729"/>
      <c r="M278" s="2536">
        <f>M276*M277</f>
        <v>2956040</v>
      </c>
      <c r="N278" s="2536"/>
      <c r="O278" s="1729"/>
      <c r="P278" s="2536">
        <f>P276*P277</f>
        <v>15716795.9</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0.04</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0</v>
      </c>
      <c r="K280" s="2536"/>
      <c r="L280" s="1729"/>
      <c r="M280" s="2536">
        <f>M278*M279</f>
        <v>118241.60000000001</v>
      </c>
      <c r="N280" s="2536"/>
      <c r="O280" s="1729"/>
      <c r="P280" s="2536">
        <f>P278*P279</f>
        <v>1414511.6310000001</v>
      </c>
      <c r="Q280" s="2536"/>
      <c r="R280" s="1729"/>
      <c r="S280" s="1729"/>
      <c r="T280" s="1729"/>
    </row>
    <row r="281" spans="1:20">
      <c r="A281" s="1729"/>
      <c r="B281" s="2501" t="s">
        <v>1337</v>
      </c>
      <c r="C281" s="1729"/>
      <c r="D281" s="1729"/>
      <c r="E281" s="1729"/>
      <c r="F281" s="1729"/>
      <c r="G281" s="1729"/>
      <c r="H281" s="1729"/>
      <c r="I281" s="1729"/>
      <c r="J281" s="2535">
        <f>ROUNDDOWN(J280+M280+P280,0)</f>
        <v>1532753</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5067</v>
      </c>
      <c r="C286" s="1729"/>
      <c r="D286" s="1729"/>
      <c r="E286" s="1729"/>
      <c r="F286" s="1729"/>
      <c r="G286" s="1729"/>
      <c r="H286" s="1729"/>
      <c r="I286" s="1729"/>
      <c r="J286" s="2536">
        <f>G256</f>
        <v>17002516</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3200110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13802406</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1380240.6</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5068</v>
      </c>
      <c r="C292" s="1729"/>
      <c r="D292" s="1729"/>
      <c r="E292" s="1729"/>
      <c r="F292" s="1729"/>
      <c r="G292" s="1729"/>
      <c r="H292" s="1729"/>
      <c r="I292" s="1729"/>
      <c r="J292" s="2621">
        <f>N292+Q292</f>
        <v>1.2000000000000002</v>
      </c>
      <c r="K292" s="2621"/>
      <c r="L292" s="2621"/>
      <c r="M292" s="1534" t="s">
        <v>1210</v>
      </c>
      <c r="N292" s="2622">
        <f>'Part III-A-Uses of Funds'!N182</f>
        <v>0.8</v>
      </c>
      <c r="O292" s="2622"/>
      <c r="P292" s="1534" t="s">
        <v>569</v>
      </c>
      <c r="Q292" s="2622">
        <f>'Part III-A-Uses of Funds'!Q182</f>
        <v>0.4</v>
      </c>
      <c r="R292" s="2622"/>
      <c r="S292" s="1729"/>
      <c r="T292" s="1729"/>
    </row>
    <row r="293" spans="1:20">
      <c r="A293" s="1729"/>
      <c r="B293" s="2501" t="s">
        <v>1338</v>
      </c>
      <c r="C293" s="1729"/>
      <c r="D293" s="1729"/>
      <c r="E293" s="1729"/>
      <c r="F293" s="1729"/>
      <c r="G293" s="1729"/>
      <c r="H293" s="1729"/>
      <c r="I293" s="1729"/>
      <c r="J293" s="2535">
        <f>ROUNDDOWN(IF(J292=0,"",J290/J292),0)</f>
        <v>1150200</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5069</v>
      </c>
      <c r="C297" s="1729"/>
      <c r="D297" s="1729"/>
      <c r="E297" s="1729"/>
      <c r="F297" s="1729"/>
      <c r="G297" s="1729"/>
      <c r="H297" s="1729"/>
      <c r="I297" s="1729"/>
      <c r="J297" s="2535">
        <f>'Part III-A-Uses of Funds'!J187</f>
        <v>1145000</v>
      </c>
      <c r="K297" s="2535"/>
      <c r="L297" s="2535"/>
      <c r="M297" s="1729"/>
      <c r="N297" s="1729"/>
      <c r="O297" s="1729"/>
      <c r="P297" s="1729"/>
      <c r="Q297" s="2507" t="s">
        <v>4145</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5070</v>
      </c>
      <c r="C299" s="1729"/>
      <c r="D299" s="1729"/>
      <c r="E299" s="1729"/>
      <c r="F299" s="1729"/>
      <c r="G299" s="1729"/>
      <c r="H299" s="1729"/>
      <c r="I299" s="1729"/>
      <c r="J299" s="2535">
        <f>'Part III-A-Uses of Funds'!J189</f>
        <v>1145000</v>
      </c>
      <c r="K299" s="2535"/>
      <c r="L299" s="2535"/>
      <c r="M299" s="2625" t="str">
        <f>IF(J297=0,"",IF(J299&gt;J297,"Request can't exceed Maximum - REVISE (Try Round Down)!",""))</f>
        <v/>
      </c>
      <c r="N299" s="2625"/>
      <c r="O299" s="2625"/>
      <c r="P299" s="2625"/>
      <c r="Q299" s="2594" t="s">
        <v>4439</v>
      </c>
      <c r="R299" s="2507"/>
      <c r="S299" s="2507" t="str">
        <f>'Part VIII Scoring Criteria'!$F$12</f>
        <v>Preservation</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5071</v>
      </c>
      <c r="C301" s="1729"/>
      <c r="D301" s="377"/>
      <c r="E301" s="377"/>
      <c r="F301" s="2508"/>
      <c r="G301" s="1729"/>
      <c r="H301" s="1729"/>
      <c r="I301" s="1729"/>
      <c r="J301" s="2535">
        <f>IF(J299="",0,+MIN(J297,J299))</f>
        <v>1145000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Please see Tab 8 (Readiness to Proceed) for the Rehab Work Scope completed by the General Contractor. The applicant has carefully reviewed these estimates and verifiyed all immediate needs in the Physical Needs Assessment (also included in Tab 8) have been addressed.
There will be No Impact, Water Tap and Sewer Tap fees as the proposed application is for the rehabilitation of existing multi-family apartments.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Pateville Estates  -  Cordele  -  Crisp,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Physical Needs Assessment</v>
      </c>
      <c r="B315" s="2636"/>
      <c r="C315" s="2636"/>
      <c r="D315" s="2636"/>
      <c r="F315" s="2637" t="str">
        <f>'Part III-B-Other Items'!F9</f>
        <v>Physical Needs Assessment to determine rehab work scope based on useful life and immediate needs, as required per DCA requirements.</v>
      </c>
      <c r="G315" s="2635"/>
      <c r="H315" s="2637" t="str">
        <f>'Part III-B-Other Items'!H9</f>
        <v>As this is directly related to the rehabilitation of the existing building, it is depreciable and therefore included in eligible basis.</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5000</v>
      </c>
      <c r="C318" s="2638" t="s">
        <v>1660</v>
      </c>
      <c r="D318" s="2639">
        <f>'Part III-A-Uses of Funds'!$J$15+'Part III-A-Uses of Funds'!$M$15+'Part III-A-Uses of Funds'!$P$15</f>
        <v>5000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Pateville Estates,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Georgia South</v>
      </c>
      <c r="J393" s="1657"/>
    </row>
    <row r="395" spans="1:13">
      <c r="A395" s="2645" t="s">
        <v>5076</v>
      </c>
    </row>
    <row r="397" spans="1:13">
      <c r="A397" s="360" t="s">
        <v>572</v>
      </c>
      <c r="B397" s="360" t="s">
        <v>2054</v>
      </c>
      <c r="F397" s="358" t="s">
        <v>2311</v>
      </c>
      <c r="G397" s="358"/>
      <c r="H397" s="358"/>
      <c r="I397" s="358" t="str">
        <f>'Part IV-Utility Allowances'!I7</f>
        <v>HUD DCA Georgia South</v>
      </c>
      <c r="J397" s="358"/>
      <c r="K397" s="358"/>
      <c r="L397" s="358"/>
      <c r="M397" s="358"/>
    </row>
    <row r="398" spans="1:13">
      <c r="A398" s="360"/>
      <c r="F398" s="358" t="s">
        <v>592</v>
      </c>
      <c r="G398" s="358"/>
      <c r="H398" s="358"/>
      <c r="I398" s="2646" t="str">
        <f>'Part IV-Utility Allowances'!I8</f>
        <v>1.1.2024</v>
      </c>
      <c r="J398" s="2646"/>
      <c r="K398" s="1804" t="s">
        <v>504</v>
      </c>
      <c r="L398" s="358" t="str">
        <f>'Part IV-Utility Allowances'!L8</f>
        <v>SF Detached</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0</v>
      </c>
      <c r="K402" s="1804">
        <f>'Part IV-Utility Allowances'!K12</f>
        <v>12</v>
      </c>
      <c r="L402" s="1804">
        <f>'Part IV-Utility Allowances'!L12</f>
        <v>14</v>
      </c>
      <c r="M402" s="1804">
        <f>'Part IV-Utility Allowances'!M12</f>
        <v>19</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0</v>
      </c>
      <c r="K403" s="1804">
        <f>'Part IV-Utility Allowances'!K13</f>
        <v>10</v>
      </c>
      <c r="L403" s="1804">
        <f>'Part IV-Utility Allowances'!L13</f>
        <v>12</v>
      </c>
      <c r="M403" s="1804">
        <f>'Part IV-Utility Allowances'!M13</f>
        <v>15</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0</v>
      </c>
      <c r="K404" s="1804">
        <f>'Part IV-Utility Allowances'!K14</f>
        <v>19</v>
      </c>
      <c r="L404" s="1804">
        <f>'Part IV-Utility Allowances'!L14</f>
        <v>24</v>
      </c>
      <c r="M404" s="1804">
        <f>'Part IV-Utility Allowances'!M14</f>
        <v>29</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0</v>
      </c>
      <c r="K405" s="1804">
        <f>'Part IV-Utility Allowances'!K15</f>
        <v>17</v>
      </c>
      <c r="L405" s="1804">
        <f>'Part IV-Utility Allowances'!L15</f>
        <v>20</v>
      </c>
      <c r="M405" s="1804">
        <f>'Part IV-Utility Allowances'!M15</f>
        <v>28</v>
      </c>
    </row>
    <row r="406" spans="1:13">
      <c r="B406" s="358" t="s">
        <v>3185</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0</v>
      </c>
      <c r="K408" s="1804">
        <f>'Part IV-Utility Allowances'!K18</f>
        <v>31</v>
      </c>
      <c r="L408" s="1804">
        <f>'Part IV-Utility Allowances'!L18</f>
        <v>37</v>
      </c>
      <c r="M408" s="1804">
        <f>'Part IV-Utility Allowances'!M18</f>
        <v>48</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0</v>
      </c>
      <c r="K409" s="1804">
        <f>'Part IV-Utility Allowances'!K19</f>
        <v>58</v>
      </c>
      <c r="L409" s="1804">
        <f>'Part IV-Utility Allowances'!L19</f>
        <v>71</v>
      </c>
      <c r="M409" s="1804">
        <f>'Part IV-Utility Allowances'!M19</f>
        <v>85</v>
      </c>
    </row>
    <row r="410" spans="1:13">
      <c r="B410" s="358" t="s">
        <v>1710</v>
      </c>
      <c r="C410" s="358"/>
      <c r="F410" s="2647" t="str">
        <f>'Part IV-Utility Allowances'!F20</f>
        <v>X</v>
      </c>
      <c r="G410" s="2647">
        <f>'Part IV-Utility Allowances'!G20</f>
        <v>0</v>
      </c>
      <c r="I410" s="1804">
        <f>'Part IV-Utility Allowances'!I20</f>
        <v>0</v>
      </c>
      <c r="J410" s="1804">
        <f>'Part IV-Utility Allowances'!J20</f>
        <v>0</v>
      </c>
      <c r="K410" s="1804">
        <f>'Part IV-Utility Allowances'!K20</f>
        <v>17</v>
      </c>
      <c r="L410" s="1804">
        <f>'Part IV-Utility Allowances'!L20</f>
        <v>17</v>
      </c>
      <c r="M410" s="1804">
        <f>'Part IV-Utility Allowances'!M20</f>
        <v>17</v>
      </c>
    </row>
    <row r="411" spans="1:13">
      <c r="B411" s="358" t="s">
        <v>689</v>
      </c>
      <c r="C411" s="361" t="str">
        <f>'Part IV-Utility Allowances'!C21</f>
        <v>Monthly Electric Fee</v>
      </c>
      <c r="D411" s="361"/>
      <c r="E411" s="361"/>
      <c r="F411" s="2647" t="str">
        <f>'Part IV-Utility Allowances'!F21</f>
        <v>X</v>
      </c>
      <c r="G411" s="2647">
        <f>'Part IV-Utility Allowances'!G21</f>
        <v>0</v>
      </c>
      <c r="I411" s="1804">
        <f>'Part IV-Utility Allowances'!I21</f>
        <v>0</v>
      </c>
      <c r="J411" s="1804">
        <f>'Part IV-Utility Allowances'!J21</f>
        <v>0</v>
      </c>
      <c r="K411" s="1804">
        <f>'Part IV-Utility Allowances'!K21</f>
        <v>20</v>
      </c>
      <c r="L411" s="1804">
        <f>'Part IV-Utility Allowances'!L21</f>
        <v>20</v>
      </c>
      <c r="M411" s="1804">
        <f>'Part IV-Utility Allowances'!M21</f>
        <v>20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0</v>
      </c>
      <c r="K412" s="2647">
        <f>IF(SUM(K402:K411)=0,0,IF(OR($D402="&lt;&lt;Select Fuel &gt;&gt;",$D403="&lt;&lt;Select Fuel &gt;&gt;",$D404="&lt;&lt;Select Fuel &gt;&gt;"),"Select Fuel",IF($E409="&lt;Select&gt;","Submeter?",SUM(K402:K411))))</f>
        <v>184</v>
      </c>
      <c r="L412" s="2647">
        <f>IF(SUM(L402:L411)=0,0,IF(OR($D402="&lt;&lt;Select Fuel &gt;&gt;",$D403="&lt;&lt;Select Fuel &gt;&gt;",$D404="&lt;&lt;Select Fuel &gt;&gt;"),"Select Fuel",IF($E409="&lt;Select&gt;","Submeter?",SUM(L402:L411))))</f>
        <v>215</v>
      </c>
      <c r="M412" s="2647">
        <f>IF(SUM(M402:M411)=0,0,IF(OR($D402="&lt;&lt;Select Fuel &gt;&gt;",$D403="&lt;&lt;Select Fuel &gt;&gt;",$D404="&lt;&lt;Select Fuel &gt;&gt;"),"Select Fuel",IF($E409="&lt;Select&gt;","Submeter?",SUM(M402:M411))))</f>
        <v>261</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t="str">
        <f>'Part IV-Utility Allowances'!B43</f>
        <v>Applicant has used the Georgia South utility allowances for Single Family Detached housing.</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Pateville Estates,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Pateville Estates,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Crisp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64700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t="str">
        <f>'Part V-Revenues &amp; Expenses'!P7</f>
        <v>4.1.2024</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Novogradac &amp; Company, LLP</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60</v>
      </c>
      <c r="C456" s="2667">
        <f>'Part V-Revenues &amp; Expenses'!C18</f>
        <v>2</v>
      </c>
      <c r="D456" s="2668">
        <f>'Part V-Revenues &amp; Expenses'!D18</f>
        <v>2</v>
      </c>
      <c r="E456" s="2669">
        <f>'Part V-Revenues &amp; Expenses'!E18</f>
        <v>30</v>
      </c>
      <c r="F456" s="2669">
        <f>'Part V-Revenues &amp; Expenses'!F18</f>
        <v>1068</v>
      </c>
      <c r="G456" s="2669">
        <f>'Part V-Revenues &amp; Expenses'!G18</f>
        <v>1045</v>
      </c>
      <c r="H456" s="2669">
        <f>'Part V-Revenues &amp; Expenses'!H18</f>
        <v>934</v>
      </c>
      <c r="I456" s="2669">
        <f>'Part V-Revenues &amp; Expenses'!I18</f>
        <v>0</v>
      </c>
      <c r="J456" s="2669">
        <f>'Part V-Revenues &amp; Expenses'!J18</f>
        <v>184</v>
      </c>
      <c r="K456" s="2670">
        <f>'Part V-Revenues &amp; Expenses'!K18</f>
        <v>0</v>
      </c>
      <c r="L456" s="2671">
        <f t="shared" si="1"/>
        <v>750</v>
      </c>
      <c r="M456" s="2671">
        <f t="shared" si="2"/>
        <v>22500</v>
      </c>
      <c r="N456" s="2540" t="str">
        <f>'Part V-Revenues &amp; Expenses'!N18</f>
        <v>No</v>
      </c>
      <c r="O456" s="1257" t="str">
        <f>'Part V-Revenues &amp; Expenses'!O18</f>
        <v>SF Detached</v>
      </c>
      <c r="P456" s="2540" t="str">
        <f>'Part V-Revenues &amp; Expenses'!P18</f>
        <v>Acquisition/Rehab</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f t="shared" si="15"/>
        <v>30</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f t="shared" si="130"/>
        <v>32040</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f t="shared" si="185"/>
        <v>30</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f t="shared" si="220"/>
        <v>30</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30</v>
      </c>
      <c r="MS456" s="1658">
        <f t="shared" si="331"/>
        <v>0</v>
      </c>
      <c r="MT456" s="1658">
        <f t="shared" si="332"/>
        <v>0</v>
      </c>
      <c r="NP456" s="356" t="s">
        <v>4310</v>
      </c>
    </row>
    <row r="457" spans="1:380" ht="13.9" customHeight="1">
      <c r="A457" s="2647" t="str">
        <f t="shared" si="0"/>
        <v/>
      </c>
      <c r="B457" s="2666">
        <f>'Part V-Revenues &amp; Expenses'!B19</f>
        <v>60</v>
      </c>
      <c r="C457" s="2667">
        <f>'Part V-Revenues &amp; Expenses'!C19</f>
        <v>3</v>
      </c>
      <c r="D457" s="2668">
        <f>'Part V-Revenues &amp; Expenses'!D19</f>
        <v>2</v>
      </c>
      <c r="E457" s="2669">
        <f>'Part V-Revenues &amp; Expenses'!E19</f>
        <v>15</v>
      </c>
      <c r="F457" s="2669">
        <f>'Part V-Revenues &amp; Expenses'!F19</f>
        <v>1325</v>
      </c>
      <c r="G457" s="2669">
        <f>'Part V-Revenues &amp; Expenses'!G19</f>
        <v>1207</v>
      </c>
      <c r="H457" s="2669">
        <f>'Part V-Revenues &amp; Expenses'!H19</f>
        <v>1065</v>
      </c>
      <c r="I457" s="2669">
        <f>'Part V-Revenues &amp; Expenses'!I19</f>
        <v>0</v>
      </c>
      <c r="J457" s="2669">
        <f>'Part V-Revenues &amp; Expenses'!J19</f>
        <v>215</v>
      </c>
      <c r="K457" s="2670">
        <f>'Part V-Revenues &amp; Expenses'!K19</f>
        <v>0</v>
      </c>
      <c r="L457" s="2671">
        <f t="shared" si="1"/>
        <v>850</v>
      </c>
      <c r="M457" s="2671">
        <f t="shared" si="2"/>
        <v>12750</v>
      </c>
      <c r="N457" s="2540" t="str">
        <f>'Part V-Revenues &amp; Expenses'!N19</f>
        <v>No</v>
      </c>
      <c r="O457" s="1257" t="str">
        <f>'Part V-Revenues &amp; Expenses'!O19</f>
        <v>SF Detached</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f t="shared" si="16"/>
        <v>15</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f t="shared" si="131"/>
        <v>19875</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f t="shared" si="186"/>
        <v>15</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t="str">
        <f t="shared" si="215"/>
        <v/>
      </c>
      <c r="IC457" s="1806" t="str">
        <f t="shared" si="216"/>
        <v/>
      </c>
      <c r="ID457" s="1806" t="str">
        <f t="shared" si="217"/>
        <v/>
      </c>
      <c r="IE457" s="1806" t="str">
        <f t="shared" si="218"/>
        <v/>
      </c>
      <c r="IF457" s="1806" t="str">
        <f t="shared" si="219"/>
        <v/>
      </c>
      <c r="IG457" s="1806" t="str">
        <f t="shared" si="220"/>
        <v/>
      </c>
      <c r="IH457" s="1806">
        <f t="shared" si="221"/>
        <v>15</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15</v>
      </c>
      <c r="MT457" s="1658">
        <f t="shared" si="332"/>
        <v>0</v>
      </c>
      <c r="NP457" s="356" t="s">
        <v>4311</v>
      </c>
    </row>
    <row r="458" spans="1:380" ht="13.9" customHeight="1">
      <c r="A458" s="2647" t="str">
        <f t="shared" si="0"/>
        <v/>
      </c>
      <c r="B458" s="2666">
        <f>'Part V-Revenues &amp; Expenses'!B20</f>
        <v>60</v>
      </c>
      <c r="C458" s="2667">
        <f>'Part V-Revenues &amp; Expenses'!C20</f>
        <v>4</v>
      </c>
      <c r="D458" s="2668">
        <f>'Part V-Revenues &amp; Expenses'!D20</f>
        <v>2</v>
      </c>
      <c r="E458" s="2669">
        <f>'Part V-Revenues &amp; Expenses'!E20</f>
        <v>10</v>
      </c>
      <c r="F458" s="2669">
        <f>'Part V-Revenues &amp; Expenses'!F20</f>
        <v>1374</v>
      </c>
      <c r="G458" s="2669">
        <f>'Part V-Revenues &amp; Expenses'!G20</f>
        <v>1347</v>
      </c>
      <c r="H458" s="2669">
        <f>'Part V-Revenues &amp; Expenses'!H20</f>
        <v>1211</v>
      </c>
      <c r="I458" s="2669">
        <f>'Part V-Revenues &amp; Expenses'!I20</f>
        <v>0</v>
      </c>
      <c r="J458" s="2669">
        <f>'Part V-Revenues &amp; Expenses'!J20</f>
        <v>261</v>
      </c>
      <c r="K458" s="2670">
        <f>'Part V-Revenues &amp; Expenses'!K20</f>
        <v>0</v>
      </c>
      <c r="L458" s="2671">
        <f t="shared" si="1"/>
        <v>950</v>
      </c>
      <c r="M458" s="2671">
        <f t="shared" si="2"/>
        <v>9500</v>
      </c>
      <c r="N458" s="2540" t="str">
        <f>'Part V-Revenues &amp; Expenses'!N20</f>
        <v>No</v>
      </c>
      <c r="O458" s="1257" t="str">
        <f>'Part V-Revenues &amp; Expenses'!O20</f>
        <v>SF Detached</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f t="shared" si="17"/>
        <v>10</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f t="shared" si="132"/>
        <v>13740</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f t="shared" si="187"/>
        <v>10</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f t="shared" si="222"/>
        <v>10</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10</v>
      </c>
      <c r="NP458" s="356" t="s">
        <v>4312</v>
      </c>
    </row>
    <row r="459" spans="1:380" ht="13.9" customHeight="1">
      <c r="A459" s="2647" t="str">
        <f t="shared" si="0"/>
        <v/>
      </c>
      <c r="B459" s="2666">
        <f>'Part V-Revenues &amp; Expenses'!B21</f>
        <v>60</v>
      </c>
      <c r="C459" s="2667">
        <f>'Part V-Revenues &amp; Expenses'!C21</f>
        <v>4</v>
      </c>
      <c r="D459" s="2668">
        <f>'Part V-Revenues &amp; Expenses'!D21</f>
        <v>3</v>
      </c>
      <c r="E459" s="2669">
        <f>'Part V-Revenues &amp; Expenses'!E21</f>
        <v>5</v>
      </c>
      <c r="F459" s="2669">
        <f>'Part V-Revenues &amp; Expenses'!F21</f>
        <v>1469</v>
      </c>
      <c r="G459" s="2669">
        <f>'Part V-Revenues &amp; Expenses'!G21</f>
        <v>1347</v>
      </c>
      <c r="H459" s="2669">
        <f>'Part V-Revenues &amp; Expenses'!H21</f>
        <v>1211</v>
      </c>
      <c r="I459" s="2669">
        <f>'Part V-Revenues &amp; Expenses'!I21</f>
        <v>0</v>
      </c>
      <c r="J459" s="2669">
        <f>'Part V-Revenues &amp; Expenses'!J21</f>
        <v>261</v>
      </c>
      <c r="K459" s="2670">
        <f>'Part V-Revenues &amp; Expenses'!K21</f>
        <v>0</v>
      </c>
      <c r="L459" s="2671">
        <f t="shared" si="1"/>
        <v>950</v>
      </c>
      <c r="M459" s="2671">
        <f t="shared" si="2"/>
        <v>4750</v>
      </c>
      <c r="N459" s="2540" t="str">
        <f>'Part V-Revenues &amp; Expenses'!N21</f>
        <v>No</v>
      </c>
      <c r="O459" s="1257" t="str">
        <f>'Part V-Revenues &amp; Expenses'!O21</f>
        <v>SF Detached</v>
      </c>
      <c r="P459" s="2540" t="str">
        <f>'Part V-Revenues &amp; Expenses'!P21</f>
        <v>Acquisition/Rehab</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f t="shared" si="17"/>
        <v>5</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f t="shared" si="132"/>
        <v>7345</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f t="shared" si="187"/>
        <v>5</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f t="shared" si="222"/>
        <v>5</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5</v>
      </c>
      <c r="NP459" s="356" t="s">
        <v>4313</v>
      </c>
    </row>
    <row r="460" spans="1:380" ht="13.9" customHeight="1">
      <c r="A460" s="2647" t="str">
        <f t="shared" si="0"/>
        <v/>
      </c>
      <c r="B460" s="2666">
        <f>'Part V-Revenues &amp; Expenses'!B22</f>
        <v>50</v>
      </c>
      <c r="C460" s="2667">
        <f>'Part V-Revenues &amp; Expenses'!C22</f>
        <v>2</v>
      </c>
      <c r="D460" s="2668">
        <f>'Part V-Revenues &amp; Expenses'!D22</f>
        <v>2</v>
      </c>
      <c r="E460" s="2669">
        <f>'Part V-Revenues &amp; Expenses'!E22</f>
        <v>8</v>
      </c>
      <c r="F460" s="2669">
        <f>'Part V-Revenues &amp; Expenses'!F22</f>
        <v>1068</v>
      </c>
      <c r="G460" s="2669">
        <f>'Part V-Revenues &amp; Expenses'!G22</f>
        <v>871</v>
      </c>
      <c r="H460" s="2669">
        <f>'Part V-Revenues &amp; Expenses'!H22</f>
        <v>869</v>
      </c>
      <c r="I460" s="2669">
        <f>'Part V-Revenues &amp; Expenses'!I22</f>
        <v>0</v>
      </c>
      <c r="J460" s="2669">
        <f>'Part V-Revenues &amp; Expenses'!J22</f>
        <v>184</v>
      </c>
      <c r="K460" s="2670">
        <f>'Part V-Revenues &amp; Expenses'!K22</f>
        <v>0</v>
      </c>
      <c r="L460" s="2671">
        <f t="shared" si="1"/>
        <v>685</v>
      </c>
      <c r="M460" s="2671">
        <f t="shared" si="2"/>
        <v>5480</v>
      </c>
      <c r="N460" s="2540" t="str">
        <f>'Part V-Revenues &amp; Expenses'!N22</f>
        <v>No</v>
      </c>
      <c r="O460" s="1257" t="str">
        <f>'Part V-Revenues &amp; Expenses'!O22</f>
        <v>SF Detached</v>
      </c>
      <c r="P460" s="2540" t="str">
        <f>'Part V-Revenues &amp; Expenses'!P22</f>
        <v>Acquisition/Rehab</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f t="shared" si="20"/>
        <v>8</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f t="shared" si="135"/>
        <v>8544</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f t="shared" si="185"/>
        <v>8</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f t="shared" si="220"/>
        <v>8</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8</v>
      </c>
      <c r="MS460" s="1658">
        <f t="shared" si="331"/>
        <v>0</v>
      </c>
      <c r="MT460" s="1658">
        <f t="shared" si="332"/>
        <v>0</v>
      </c>
      <c r="NP460" s="356" t="s">
        <v>4314</v>
      </c>
    </row>
    <row r="461" spans="1:380" ht="13.9" customHeight="1">
      <c r="A461" s="2647" t="str">
        <f t="shared" si="0"/>
        <v/>
      </c>
      <c r="B461" s="2666">
        <f>'Part V-Revenues &amp; Expenses'!B23</f>
        <v>50</v>
      </c>
      <c r="C461" s="2667">
        <f>'Part V-Revenues &amp; Expenses'!C23</f>
        <v>3</v>
      </c>
      <c r="D461" s="2668">
        <f>'Part V-Revenues &amp; Expenses'!D23</f>
        <v>2</v>
      </c>
      <c r="E461" s="2669">
        <f>'Part V-Revenues &amp; Expenses'!E23</f>
        <v>4</v>
      </c>
      <c r="F461" s="2669">
        <f>'Part V-Revenues &amp; Expenses'!F23</f>
        <v>1325</v>
      </c>
      <c r="G461" s="2669">
        <f>'Part V-Revenues &amp; Expenses'!G23</f>
        <v>1006</v>
      </c>
      <c r="H461" s="2669">
        <f>'Part V-Revenues &amp; Expenses'!H23</f>
        <v>1005</v>
      </c>
      <c r="I461" s="2669">
        <f>'Part V-Revenues &amp; Expenses'!I23</f>
        <v>0</v>
      </c>
      <c r="J461" s="2669">
        <f>'Part V-Revenues &amp; Expenses'!J23</f>
        <v>215</v>
      </c>
      <c r="K461" s="2670">
        <f>'Part V-Revenues &amp; Expenses'!K23</f>
        <v>0</v>
      </c>
      <c r="L461" s="2671">
        <f t="shared" si="1"/>
        <v>790</v>
      </c>
      <c r="M461" s="2671">
        <f t="shared" si="2"/>
        <v>3160</v>
      </c>
      <c r="N461" s="2540" t="str">
        <f>'Part V-Revenues &amp; Expenses'!N23</f>
        <v>No</v>
      </c>
      <c r="O461" s="1257" t="str">
        <f>'Part V-Revenues &amp; Expenses'!O23</f>
        <v>SF Detached</v>
      </c>
      <c r="P461" s="2540" t="str">
        <f>'Part V-Revenues &amp; Expenses'!P23</f>
        <v>Acquisition/Rehab</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f t="shared" si="21"/>
        <v>4</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f t="shared" si="136"/>
        <v>5300</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f t="shared" si="186"/>
        <v>4</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f t="shared" si="221"/>
        <v>4</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4</v>
      </c>
      <c r="MT461" s="1658">
        <f t="shared" si="332"/>
        <v>0</v>
      </c>
      <c r="NP461" s="356" t="s">
        <v>4315</v>
      </c>
    </row>
    <row r="462" spans="1:380" ht="13.9" customHeight="1">
      <c r="A462" s="2647" t="str">
        <f t="shared" si="0"/>
        <v/>
      </c>
      <c r="B462" s="2666">
        <f>'Part V-Revenues &amp; Expenses'!B24</f>
        <v>50</v>
      </c>
      <c r="C462" s="2667">
        <f>'Part V-Revenues &amp; Expenses'!C24</f>
        <v>4</v>
      </c>
      <c r="D462" s="2668">
        <f>'Part V-Revenues &amp; Expenses'!D24</f>
        <v>2</v>
      </c>
      <c r="E462" s="2669">
        <f>'Part V-Revenues &amp; Expenses'!E24</f>
        <v>3</v>
      </c>
      <c r="F462" s="2669">
        <f>'Part V-Revenues &amp; Expenses'!F24</f>
        <v>1374</v>
      </c>
      <c r="G462" s="2669">
        <f>'Part V-Revenues &amp; Expenses'!G24</f>
        <v>1122</v>
      </c>
      <c r="H462" s="2669">
        <f>'Part V-Revenues &amp; Expenses'!H24</f>
        <v>1121</v>
      </c>
      <c r="I462" s="2669">
        <f>'Part V-Revenues &amp; Expenses'!I24</f>
        <v>0</v>
      </c>
      <c r="J462" s="2669">
        <f>'Part V-Revenues &amp; Expenses'!J24</f>
        <v>261</v>
      </c>
      <c r="K462" s="2670">
        <f>'Part V-Revenues &amp; Expenses'!K24</f>
        <v>0</v>
      </c>
      <c r="L462" s="2671">
        <f t="shared" si="1"/>
        <v>860</v>
      </c>
      <c r="M462" s="2671">
        <f t="shared" si="2"/>
        <v>2580</v>
      </c>
      <c r="N462" s="2540" t="str">
        <f>'Part V-Revenues &amp; Expenses'!N24</f>
        <v>No</v>
      </c>
      <c r="O462" s="1257" t="str">
        <f>'Part V-Revenues &amp; Expenses'!O24</f>
        <v>SF Detached</v>
      </c>
      <c r="P462" s="2540" t="str">
        <f>'Part V-Revenues &amp; Expenses'!P24</f>
        <v>Acquisition/Rehab</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f t="shared" si="22"/>
        <v>3</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f t="shared" si="137"/>
        <v>4122</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f t="shared" si="187"/>
        <v>3</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f t="shared" si="222"/>
        <v>3</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3</v>
      </c>
      <c r="NP462" s="356" t="s">
        <v>4316</v>
      </c>
    </row>
    <row r="463" spans="1:380" ht="13.9" customHeight="1">
      <c r="A463" s="2647" t="str">
        <f t="shared" si="0"/>
        <v/>
      </c>
      <c r="B463" s="2666">
        <f>'Part V-Revenues &amp; Expenses'!B25</f>
        <v>50</v>
      </c>
      <c r="C463" s="2667">
        <f>'Part V-Revenues &amp; Expenses'!C25</f>
        <v>4</v>
      </c>
      <c r="D463" s="2668">
        <f>'Part V-Revenues &amp; Expenses'!D25</f>
        <v>3</v>
      </c>
      <c r="E463" s="2669">
        <f>'Part V-Revenues &amp; Expenses'!E25</f>
        <v>1</v>
      </c>
      <c r="F463" s="2669">
        <f>'Part V-Revenues &amp; Expenses'!F25</f>
        <v>1469</v>
      </c>
      <c r="G463" s="2669">
        <f>'Part V-Revenues &amp; Expenses'!G25</f>
        <v>1122</v>
      </c>
      <c r="H463" s="2669">
        <f>'Part V-Revenues &amp; Expenses'!H25</f>
        <v>1121</v>
      </c>
      <c r="I463" s="2669">
        <f>'Part V-Revenues &amp; Expenses'!I25</f>
        <v>0</v>
      </c>
      <c r="J463" s="2669">
        <f>'Part V-Revenues &amp; Expenses'!J25</f>
        <v>261</v>
      </c>
      <c r="K463" s="2670">
        <f>'Part V-Revenues &amp; Expenses'!K25</f>
        <v>0</v>
      </c>
      <c r="L463" s="2671">
        <f t="shared" si="1"/>
        <v>860</v>
      </c>
      <c r="M463" s="2671">
        <f t="shared" si="2"/>
        <v>860</v>
      </c>
      <c r="N463" s="2540" t="str">
        <f>'Part V-Revenues &amp; Expenses'!N25</f>
        <v>No</v>
      </c>
      <c r="O463" s="1257" t="str">
        <f>'Part V-Revenues &amp; Expenses'!O25</f>
        <v>SF Detached</v>
      </c>
      <c r="P463" s="2540" t="str">
        <f>'Part V-Revenues &amp; Expenses'!P25</f>
        <v>Acquisition/Rehab</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f t="shared" si="22"/>
        <v>1</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f t="shared" si="137"/>
        <v>1469</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f t="shared" si="187"/>
        <v>1</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f t="shared" si="222"/>
        <v>1</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1</v>
      </c>
      <c r="NP463" s="356" t="s">
        <v>4317</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76</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92435</v>
      </c>
      <c r="H487" s="2679" t="s">
        <v>3645</v>
      </c>
      <c r="I487" s="2680" t="s">
        <v>3646</v>
      </c>
      <c r="J487" s="2681" t="str">
        <f>IF(P505=0,"",IF(SUM(P496:P500)/P505&gt;=0.4,"Pass","Fail"))</f>
        <v>Pass</v>
      </c>
      <c r="K487" s="362"/>
      <c r="L487" s="2682" t="s">
        <v>1223</v>
      </c>
      <c r="M487" s="2683">
        <f>SUM(M449:M486)</f>
        <v>61580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0</v>
      </c>
      <c r="AJ487" s="1659">
        <f t="shared" si="338"/>
        <v>30</v>
      </c>
      <c r="AK487" s="1659">
        <f t="shared" si="338"/>
        <v>15</v>
      </c>
      <c r="AL487" s="1659">
        <f t="shared" si="338"/>
        <v>15</v>
      </c>
      <c r="AM487" s="1659">
        <f>SUM(AM449:AM486)</f>
        <v>0</v>
      </c>
      <c r="AN487" s="1659">
        <f>SUM(AN449:AN486)</f>
        <v>0</v>
      </c>
      <c r="AO487" s="1659">
        <f>SUM(AO449:AO486)</f>
        <v>8</v>
      </c>
      <c r="AP487" s="1659">
        <f>SUM(AP449:AP486)</f>
        <v>4</v>
      </c>
      <c r="AQ487" s="1659">
        <f>SUM(AQ449:AQ486)</f>
        <v>4</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0</v>
      </c>
      <c r="EU487" s="1659">
        <f t="shared" si="338"/>
        <v>32040</v>
      </c>
      <c r="EV487" s="1659">
        <f t="shared" si="338"/>
        <v>19875</v>
      </c>
      <c r="EW487" s="1659">
        <f t="shared" si="338"/>
        <v>21085</v>
      </c>
      <c r="EX487" s="1659">
        <f t="shared" si="338"/>
        <v>0</v>
      </c>
      <c r="EY487" s="1659">
        <f t="shared" si="338"/>
        <v>0</v>
      </c>
      <c r="EZ487" s="1659">
        <f t="shared" si="338"/>
        <v>8544</v>
      </c>
      <c r="FA487" s="1659">
        <f t="shared" si="338"/>
        <v>5300</v>
      </c>
      <c r="FB487" s="1659">
        <f t="shared" ref="FB487:HW487" si="340">SUM(FB449:FB486)</f>
        <v>5591</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38</v>
      </c>
      <c r="GY487" s="1659">
        <f t="shared" si="340"/>
        <v>19</v>
      </c>
      <c r="GZ487" s="1659">
        <f t="shared" si="340"/>
        <v>19</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0</v>
      </c>
      <c r="IB487" s="1659">
        <f t="shared" si="341"/>
        <v>0</v>
      </c>
      <c r="IC487" s="1659">
        <f t="shared" si="341"/>
        <v>0</v>
      </c>
      <c r="ID487" s="1659">
        <f t="shared" si="341"/>
        <v>0</v>
      </c>
      <c r="IE487" s="1659">
        <f t="shared" si="341"/>
        <v>0</v>
      </c>
      <c r="IF487" s="1659">
        <f t="shared" si="341"/>
        <v>0</v>
      </c>
      <c r="IG487" s="1659">
        <f t="shared" si="341"/>
        <v>38</v>
      </c>
      <c r="IH487" s="1659">
        <f t="shared" si="341"/>
        <v>19</v>
      </c>
      <c r="II487" s="1659">
        <f t="shared" si="341"/>
        <v>19</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38</v>
      </c>
      <c r="MS487" s="1659">
        <f t="shared" si="343"/>
        <v>19</v>
      </c>
      <c r="MT487" s="1659">
        <f t="shared" si="343"/>
        <v>19</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57.89473684210526</v>
      </c>
      <c r="C488" s="2684"/>
      <c r="D488" s="2647" t="s">
        <v>3555</v>
      </c>
      <c r="E488" s="2677">
        <f>SUM(E456:E486)</f>
        <v>76</v>
      </c>
      <c r="F488" s="2678">
        <f>(E456*F456+E457*F457+E458*F458+E459*F459+E460*F460+E461*F461+E462*F462+E463*F463+E464*F464+E465*F465+E466*F466+E467*F467+E468*F468+E469*F469+E470*F470+E471*F471+E472*F472+E473*F473+E474*F474+E475*F475+E476*F476+E477*F477+E478*F478+E479*F479+E480*F480+E481*F481+E482*F482+E483*F483+E484*F484+E485*F485+E486*F486)</f>
        <v>92435</v>
      </c>
      <c r="H488" s="2679"/>
      <c r="I488" s="2680" t="s">
        <v>3647</v>
      </c>
      <c r="J488" s="2681" t="str">
        <f>IF(P505=0,"",IF(SUM(P497:P500)/P505&gt;=0.2,"Pass","Fail"))</f>
        <v>Pass</v>
      </c>
      <c r="K488" s="362"/>
      <c r="L488" s="2676" t="s">
        <v>756</v>
      </c>
      <c r="M488" s="2683">
        <f>M487*12</f>
        <v>738960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5"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30</v>
      </c>
      <c r="N496" s="2688">
        <f>AK487</f>
        <v>15</v>
      </c>
      <c r="O496" s="2688">
        <f>AL487</f>
        <v>15</v>
      </c>
      <c r="P496" s="2688">
        <f t="shared" si="344"/>
        <v>60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8</v>
      </c>
      <c r="N497" s="2688">
        <f>AP487</f>
        <v>4</v>
      </c>
      <c r="O497" s="2688">
        <f>AQ487</f>
        <v>4</v>
      </c>
      <c r="P497" s="2688">
        <f t="shared" si="344"/>
        <v>16</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0</v>
      </c>
      <c r="M501" s="2688">
        <f>SUM(M494:M500)</f>
        <v>38</v>
      </c>
      <c r="N501" s="2688">
        <f>SUM(N494:N500)</f>
        <v>19</v>
      </c>
      <c r="O501" s="2688">
        <f>SUM(O494:O500)</f>
        <v>19</v>
      </c>
      <c r="P501" s="2688">
        <f t="shared" si="344"/>
        <v>76</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0</v>
      </c>
      <c r="M503" s="2693">
        <f>SUM(M501:M502)</f>
        <v>38</v>
      </c>
      <c r="N503" s="2693">
        <f>SUM(N501:N502)</f>
        <v>19</v>
      </c>
      <c r="O503" s="2693">
        <f>SUM(O501:O502)</f>
        <v>19</v>
      </c>
      <c r="P503" s="2693">
        <f t="shared" si="344"/>
        <v>76</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0</v>
      </c>
      <c r="M505" s="2694">
        <f>SUM(M503:M504)</f>
        <v>38</v>
      </c>
      <c r="N505" s="2694">
        <f>SUM(N503:N504)</f>
        <v>19</v>
      </c>
      <c r="O505" s="2694">
        <f>SUM(O503:O504)</f>
        <v>19</v>
      </c>
      <c r="P505" s="2694">
        <f t="shared" si="344"/>
        <v>76</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t="str">
        <f t="shared" si="349"/>
        <v/>
      </c>
      <c r="M514" s="2697">
        <f t="shared" si="349"/>
        <v>0.78947368421052633</v>
      </c>
      <c r="N514" s="2697">
        <f t="shared" si="349"/>
        <v>0.78947368421052633</v>
      </c>
      <c r="O514" s="2697">
        <f t="shared" si="349"/>
        <v>0.78947368421052633</v>
      </c>
      <c r="P514" s="2697">
        <f t="shared" si="349"/>
        <v>0.78947368421052633</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t="str">
        <f>IF(OR(L496=0,P514="",L505=0),"",P514*L505)</f>
        <v/>
      </c>
      <c r="M515" s="2698">
        <f>IF(OR(M496=0,P514="",M505=0),"",P514*M505)</f>
        <v>30</v>
      </c>
      <c r="N515" s="2698">
        <f>IF(OR(N496=0,P514="",N505=0),"",P514*N505)</f>
        <v>15</v>
      </c>
      <c r="O515" s="2698">
        <f>IF(OR(O496=0,P514="",O505=0),"",P514*O505)</f>
        <v>15</v>
      </c>
      <c r="P515" s="2698">
        <f>IF(OR(P514="",P505=0),"",P514*P505)</f>
        <v>60</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t="str">
        <f t="shared" si="350"/>
        <v/>
      </c>
      <c r="M516" s="2698">
        <f t="shared" si="350"/>
        <v>0</v>
      </c>
      <c r="N516" s="2698">
        <f t="shared" si="350"/>
        <v>0</v>
      </c>
      <c r="O516" s="2698">
        <f t="shared" si="350"/>
        <v>0</v>
      </c>
      <c r="P516" s="2698">
        <f t="shared" si="350"/>
        <v>0</v>
      </c>
    </row>
    <row r="517" spans="3:23">
      <c r="C517" s="360" t="s">
        <v>3937</v>
      </c>
      <c r="D517" s="360"/>
      <c r="E517" s="360"/>
      <c r="H517" s="1418" t="s">
        <v>112</v>
      </c>
      <c r="I517" s="361"/>
      <c r="J517" s="358"/>
      <c r="K517" s="2697" t="str">
        <f t="shared" ref="K517:P517" si="351">IF(OR(K497=0,K505=0),"",K497/K505)</f>
        <v/>
      </c>
      <c r="L517" s="2697" t="str">
        <f t="shared" si="351"/>
        <v/>
      </c>
      <c r="M517" s="2697">
        <f t="shared" si="351"/>
        <v>0.21052631578947367</v>
      </c>
      <c r="N517" s="2697">
        <f t="shared" si="351"/>
        <v>0.21052631578947367</v>
      </c>
      <c r="O517" s="2697">
        <f t="shared" si="351"/>
        <v>0.21052631578947367</v>
      </c>
      <c r="P517" s="2697">
        <f t="shared" si="351"/>
        <v>0.21052631578947367</v>
      </c>
    </row>
    <row r="518" spans="3:23">
      <c r="C518" s="360"/>
      <c r="D518" s="360"/>
      <c r="E518" s="360"/>
      <c r="H518" s="1418" t="s">
        <v>5084</v>
      </c>
      <c r="I518" s="361"/>
      <c r="J518" s="358"/>
      <c r="K518" s="2698" t="str">
        <f>IF(OR(K497=0,P517="",K505=0),"",P517*K505)</f>
        <v/>
      </c>
      <c r="L518" s="2698" t="str">
        <f>IF(OR(L497=0,P517="",L505=0),"",P517*L505)</f>
        <v/>
      </c>
      <c r="M518" s="2698">
        <f>IF(OR(M497=0,P517="",M505=0),"",P517*M505)</f>
        <v>8</v>
      </c>
      <c r="N518" s="2698">
        <f>IF(OR(N497=0,P517="",N505=0),"",P517*N505)</f>
        <v>4</v>
      </c>
      <c r="O518" s="2698">
        <f>IF(OR(O497=0,P517="",O505=0),"",P517*O505)</f>
        <v>4</v>
      </c>
      <c r="P518" s="2698">
        <f>IF(OR(P517="",P505=0),"",P517*P505)</f>
        <v>16</v>
      </c>
    </row>
    <row r="519" spans="3:23">
      <c r="C519" s="360"/>
      <c r="D519" s="360"/>
      <c r="E519" s="360"/>
      <c r="G519" s="2680"/>
      <c r="H519" s="1418" t="s">
        <v>5085</v>
      </c>
      <c r="I519" s="361"/>
      <c r="J519" s="358"/>
      <c r="K519" s="2698" t="str">
        <f t="shared" ref="K519:P519" si="352">IF(OR(K518="",K497=0),"", K497-K518)</f>
        <v/>
      </c>
      <c r="L519" s="2698" t="str">
        <f t="shared" si="352"/>
        <v/>
      </c>
      <c r="M519" s="2698">
        <f t="shared" si="352"/>
        <v>0</v>
      </c>
      <c r="N519" s="2698">
        <f t="shared" si="352"/>
        <v>0</v>
      </c>
      <c r="O519" s="2698">
        <f t="shared" si="352"/>
        <v>0</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5087</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4828</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38</v>
      </c>
      <c r="N554" s="2688">
        <f>GY487</f>
        <v>19</v>
      </c>
      <c r="O554" s="2688">
        <f>GZ487</f>
        <v>19</v>
      </c>
      <c r="P554" s="2688">
        <f t="shared" si="361"/>
        <v>76</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38</v>
      </c>
      <c r="N556" s="2694">
        <f>SUM(N554:N555)+HI487</f>
        <v>19</v>
      </c>
      <c r="O556" s="2694">
        <f>SUM(O554:O555)+HJ487</f>
        <v>19</v>
      </c>
      <c r="P556" s="2694">
        <f t="shared" si="361"/>
        <v>76</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t="str">
        <f>'Part V-Revenues &amp; Expenses'!K127</f>
        <v>No</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0</v>
      </c>
      <c r="M569" s="2694">
        <f t="shared" si="362"/>
        <v>0</v>
      </c>
      <c r="N569" s="2694">
        <f t="shared" si="362"/>
        <v>0</v>
      </c>
      <c r="O569" s="2694">
        <f t="shared" si="362"/>
        <v>0</v>
      </c>
      <c r="P569" s="2694">
        <f t="shared" si="362"/>
        <v>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38</v>
      </c>
      <c r="N578" s="2688">
        <f>IH487</f>
        <v>19</v>
      </c>
      <c r="O578" s="2688">
        <f>II487</f>
        <v>19</v>
      </c>
      <c r="P578" s="2694">
        <f t="shared" si="363"/>
        <v>76</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38</v>
      </c>
      <c r="N589" s="2688">
        <f t="shared" si="364"/>
        <v>19</v>
      </c>
      <c r="O589" s="2688">
        <f t="shared" si="364"/>
        <v>19</v>
      </c>
      <c r="P589" s="2694">
        <f t="shared" ref="P589:P596" si="365">SUM(K589:O589)</f>
        <v>76</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32040</v>
      </c>
      <c r="N601" s="2713">
        <f>EV487</f>
        <v>19875</v>
      </c>
      <c r="O601" s="2713">
        <f>EW487</f>
        <v>21085</v>
      </c>
      <c r="P601" s="2713">
        <f t="shared" si="368"/>
        <v>73000</v>
      </c>
      <c r="Q601" s="2698">
        <f>'Part V-Revenues &amp; Expenses'!Q163</f>
        <v>1216.6666666666667</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8544</v>
      </c>
      <c r="N602" s="2713">
        <f>FA487</f>
        <v>5300</v>
      </c>
      <c r="O602" s="2713">
        <f>FB487</f>
        <v>5591</v>
      </c>
      <c r="P602" s="2713">
        <f t="shared" si="368"/>
        <v>19435</v>
      </c>
      <c r="Q602" s="2698">
        <f>'Part V-Revenues &amp; Expenses'!Q164</f>
        <v>1214.6875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0</v>
      </c>
      <c r="M606" s="2714">
        <f>SUM(M599:M605)</f>
        <v>40584</v>
      </c>
      <c r="N606" s="2714">
        <f>SUM(N599:N605)</f>
        <v>25175</v>
      </c>
      <c r="O606" s="2714">
        <f>SUM(O599:O605)</f>
        <v>26676</v>
      </c>
      <c r="P606" s="2714">
        <f>SUM(K606:O606)</f>
        <v>92435</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0</v>
      </c>
      <c r="M608" s="2716">
        <f>SUM(M606:M607)</f>
        <v>40584</v>
      </c>
      <c r="N608" s="2716">
        <f>SUM(N606:N607)</f>
        <v>25175</v>
      </c>
      <c r="O608" s="2716">
        <f>SUM(O606:O607)</f>
        <v>26676</v>
      </c>
      <c r="P608" s="2716">
        <f>SUM(K608:O608)</f>
        <v>92435</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0</v>
      </c>
      <c r="M610" s="2717">
        <f>SUM(M608:M609)</f>
        <v>40584</v>
      </c>
      <c r="N610" s="2717">
        <f>SUM(N608:N609)</f>
        <v>25175</v>
      </c>
      <c r="O610" s="2717">
        <f>SUM(O608:O609)</f>
        <v>26676</v>
      </c>
      <c r="P610" s="2717">
        <f>SUM(K610:O610)</f>
        <v>92435</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t="str">
        <f>'Part V-Revenues &amp; Expenses'!L175</f>
        <v/>
      </c>
      <c r="M613" s="2718">
        <f>'Part V-Revenues &amp; Expenses'!M175</f>
        <v>1068</v>
      </c>
      <c r="N613" s="2718">
        <f>'Part V-Revenues &amp; Expenses'!N175</f>
        <v>1325</v>
      </c>
      <c r="O613" s="2718">
        <f>'Part V-Revenues &amp; Expenses'!O175</f>
        <v>1404</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3222</v>
      </c>
      <c r="L616" s="2533"/>
      <c r="Z616" s="1534">
        <v>68</v>
      </c>
    </row>
    <row r="617" spans="1:380" s="1729" customFormat="1" ht="13.35" customHeight="1">
      <c r="A617" s="2502"/>
      <c r="C617" s="376" t="s">
        <v>242</v>
      </c>
      <c r="K617" s="2533">
        <f>P610+K616</f>
        <v>95657</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14779.2</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42864</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54000</v>
      </c>
      <c r="G663" s="2713"/>
      <c r="I663" s="358" t="s">
        <v>1298</v>
      </c>
      <c r="L663" s="2713">
        <f>'Part V-Revenues &amp; Expenses'!L225</f>
        <v>0</v>
      </c>
      <c r="M663" s="2713"/>
      <c r="O663" s="2733">
        <f>+Q662/(P505*0.93)</f>
        <v>606.45161290322574</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54000</v>
      </c>
      <c r="G664" s="2713"/>
      <c r="I664" s="358" t="s">
        <v>1299</v>
      </c>
      <c r="L664" s="2713">
        <f>'Part V-Revenues &amp; Expenses'!L226</f>
        <v>600</v>
      </c>
      <c r="M664" s="2713"/>
      <c r="O664" s="2733">
        <f>+Q662/(P505*0.93)/12</f>
        <v>50.537634408602145</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600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108000</v>
      </c>
      <c r="G669" s="2713"/>
      <c r="I669" s="358" t="s">
        <v>1495</v>
      </c>
      <c r="L669" s="2713">
        <f>'Part V-Revenues &amp; Expenses'!L231</f>
        <v>1500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8500</v>
      </c>
      <c r="M670" s="2713"/>
      <c r="N670" s="1546" t="str">
        <f>IF(Q672="","",IF(Q670&lt;Q672, "WARNING! OE below required minimum.",""))</f>
        <v/>
      </c>
      <c r="O670" s="1657" t="s">
        <v>2024</v>
      </c>
      <c r="Q670" s="2718">
        <f>F669+F678+F689+L665+L673+L683+L689+Q662</f>
        <v>347964</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1500</v>
      </c>
      <c r="M671" s="2713"/>
      <c r="N671" s="1546"/>
      <c r="O671" s="2692" t="s">
        <v>2479</v>
      </c>
      <c r="P671" s="2733">
        <f>+Q670/P505</f>
        <v>4578.4736842105267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2000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4000</v>
      </c>
      <c r="G673" s="2713"/>
      <c r="I673" s="1657"/>
      <c r="K673" s="2734" t="s">
        <v>184</v>
      </c>
      <c r="L673" s="2718">
        <f>SUM(L669:L672)</f>
        <v>11500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500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13000</v>
      </c>
      <c r="G676" s="2713"/>
      <c r="I676" s="1657" t="s">
        <v>1295</v>
      </c>
      <c r="K676" s="1534" t="s">
        <v>3760</v>
      </c>
      <c r="O676" s="1657" t="s">
        <v>3000</v>
      </c>
      <c r="P676" s="1657"/>
      <c r="Q676" s="2738">
        <f>Q685</f>
        <v>35720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Supportive Services</v>
      </c>
      <c r="C677" s="361"/>
      <c r="D677" s="361"/>
      <c r="E677" s="361"/>
      <c r="F677" s="2713">
        <f>'Part V-Revenues &amp; Expenses'!F239</f>
        <v>5000</v>
      </c>
      <c r="G677" s="2713"/>
      <c r="I677" s="358" t="s">
        <v>1288</v>
      </c>
      <c r="K677" s="2598">
        <f>L677/12/P505</f>
        <v>11.513157894736842</v>
      </c>
      <c r="L677" s="2713">
        <f>'Part V-Revenues &amp; Expenses'!L239</f>
        <v>10500</v>
      </c>
      <c r="M677" s="2713"/>
      <c r="N677" s="1546" t="str">
        <f>IF(Q676&lt;Q685, "WARNING! RR proposed is below the DCA required minimum.","")</f>
        <v/>
      </c>
      <c r="O677" s="361" t="s">
        <v>3759</v>
      </c>
      <c r="Q677" s="2739">
        <f>Q676/P685</f>
        <v>470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24500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5.4824561403508776</v>
      </c>
      <c r="L679" s="2713">
        <f>'Part V-Revenues &amp; Expenses'!L241</f>
        <v>5000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1.0964912280701753</v>
      </c>
      <c r="L680" s="2713">
        <f>'Part V-Revenues &amp; Expenses'!L242</f>
        <v>1000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8500</v>
      </c>
      <c r="G681" s="2713"/>
      <c r="I681" s="358" t="s">
        <v>5097</v>
      </c>
      <c r="K681" s="2598">
        <f>L681/12/P505</f>
        <v>2.1929824561403506</v>
      </c>
      <c r="L681" s="2713">
        <f>'Part V-Revenues &amp; Expenses'!L243</f>
        <v>2000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13500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26000</v>
      </c>
      <c r="G683" s="2713"/>
      <c r="K683" s="2734" t="s">
        <v>184</v>
      </c>
      <c r="L683" s="2718">
        <f>SUM(L677:L682)</f>
        <v>18500</v>
      </c>
      <c r="M683" s="2718"/>
      <c r="N683" s="1546"/>
      <c r="O683" s="2563" t="s">
        <v>4396</v>
      </c>
      <c r="P683" s="2743" t="str">
        <f>CONCATENATE(SUM(MP487:MT487)," units x $",'DCA Underwriting Assumptions'!$Q$43," =")</f>
        <v>76 units x $470 =</v>
      </c>
      <c r="Q683" s="2743">
        <f>SUM(MP487:MT487)*'DCA Underwriting Assumptions'!$Q$43</f>
        <v>35720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8000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5000</v>
      </c>
      <c r="G685" s="2713"/>
      <c r="I685" s="1657" t="s">
        <v>1296</v>
      </c>
      <c r="O685" s="2682" t="s">
        <v>2460</v>
      </c>
      <c r="P685" s="2672">
        <f>SUM(MF487:MJ487)+SUM(MK487:MO487)+SUM(MP487:MT487)+P563</f>
        <v>76</v>
      </c>
      <c r="Q685" s="2744">
        <f>SUM(Q681:Q684)</f>
        <v>35720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48000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3000</v>
      </c>
      <c r="G687" s="2713"/>
      <c r="I687" s="358" t="s">
        <v>140</v>
      </c>
      <c r="L687" s="2713">
        <f>'Part V-Revenues &amp; Expenses'!L249</f>
        <v>30000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64000</v>
      </c>
      <c r="G689" s="2713"/>
      <c r="K689" s="2734" t="s">
        <v>184</v>
      </c>
      <c r="L689" s="2718">
        <f>SUM(L685:L688)</f>
        <v>78000</v>
      </c>
      <c r="M689" s="2718"/>
      <c r="O689" s="1657" t="s">
        <v>2025</v>
      </c>
      <c r="Q689" s="2718">
        <f>Q670+Q676</f>
        <v>383684</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 estimate based off comparable affordable LIHTC properties in Cordele, GA. Per the assesor website, an average valuation of $38,931/unit was determined for these properties. Therefore, the applicant has utilized $40,000/unit or $3,040,000 total value for the real estate tax calculation, which is (Total Value x 40% x 39.063 Millage Rate)/1000 = $47,500. The applicant believes rounding up to $48,000 for the expense budget was an appropriate assumption for the above real estate taxes expense budget. The above insurance expense estimate corresponds to recent quote from the insurance provider.</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Pateville Estates,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Yes</v>
      </c>
      <c r="H709" s="2754" t="s">
        <v>1353</v>
      </c>
      <c r="K709" s="2755">
        <f>'Part VI-Pro Forma'!K9</f>
        <v>42864</v>
      </c>
    </row>
    <row r="710" spans="1:11">
      <c r="A710" s="356" t="s">
        <v>1334</v>
      </c>
      <c r="B710" s="2748">
        <v>0.02</v>
      </c>
      <c r="D710" s="358" t="s">
        <v>1595</v>
      </c>
      <c r="G710" s="2753" t="str">
        <f>'Part VI-Pro Forma'!G10</f>
        <v>No</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738960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14779.2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-305100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-35720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-252699.15947102249</v>
      </c>
      <c r="C726" s="2757">
        <f>'Part VI-Pro Forma'!C26</f>
        <v>-252699.15947102249</v>
      </c>
      <c r="D726" s="2757">
        <f>'Part VI-Pro Forma'!D26</f>
        <v>-252699.15947102249</v>
      </c>
      <c r="E726" s="2757">
        <f>'Part VI-Pro Forma'!E26</f>
        <v>-252699.15947102249</v>
      </c>
      <c r="F726" s="2757">
        <f>'Part VI-Pro Forma'!F26</f>
        <v>-252699.15947102249</v>
      </c>
      <c r="G726" s="2757">
        <f>'Part VI-Pro Forma'!G26</f>
        <v>-252699.15947102249</v>
      </c>
      <c r="H726" s="2757">
        <f>'Part VI-Pro Forma'!H26</f>
        <v>-252699.15947102249</v>
      </c>
      <c r="I726" s="2757">
        <f>'Part VI-Pro Forma'!I26</f>
        <v>-252699.15947102249</v>
      </c>
      <c r="J726" s="2757">
        <f>'Part VI-Pro Forma'!J26</f>
        <v>-252699.15947102249</v>
      </c>
      <c r="K726" s="2757">
        <f>'Part VI-Pro Forma'!K26</f>
        <v>-252699.15947102249</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3273</v>
      </c>
      <c r="B732" s="2757">
        <f>'Part VI-Pro Forma'!B32</f>
        <v>-57094</v>
      </c>
      <c r="C732" s="2757">
        <f>'Part VI-Pro Forma'!C32</f>
        <v>-6228</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3186855.0832930314</v>
      </c>
      <c r="C740" s="2757">
        <f>'Part VI-Pro Forma'!C40</f>
        <v>3172689.692540355</v>
      </c>
      <c r="D740" s="2757">
        <f>'Part VI-Pro Forma'!D40</f>
        <v>3157424.605689737</v>
      </c>
      <c r="E740" s="2757">
        <f>'Part VI-Pro Forma'!E40</f>
        <v>3140974.4504751423</v>
      </c>
      <c r="F740" s="2757">
        <f>'Part VI-Pro Forma'!F40</f>
        <v>3123247.2269596537</v>
      </c>
      <c r="G740" s="2757">
        <f>'Part VI-Pro Forma'!G40</f>
        <v>3104143.7930121562</v>
      </c>
      <c r="H740" s="2757">
        <f>'Part VI-Pro Forma'!H40</f>
        <v>3083557.3098402396</v>
      </c>
      <c r="I740" s="2757">
        <f>'Part VI-Pro Forma'!I40</f>
        <v>3061372.6444783811</v>
      </c>
      <c r="J740" s="2757">
        <f>'Part VI-Pro Forma'!J40</f>
        <v>3037465.7258897303</v>
      </c>
      <c r="K740" s="2757">
        <f>'Part VI-Pro Forma'!K40</f>
        <v>3011702.8510804032</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6228</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-252699.15947102249</v>
      </c>
      <c r="C758" s="2757">
        <f>'Part VI-Pro Forma'!C58</f>
        <v>-252699.15947102249</v>
      </c>
      <c r="D758" s="2757">
        <f>'Part VI-Pro Forma'!D58</f>
        <v>-252699.15947102249</v>
      </c>
      <c r="E758" s="2757">
        <f>'Part VI-Pro Forma'!E58</f>
        <v>-252699.15947102249</v>
      </c>
      <c r="F758" s="2757">
        <f>'Part VI-Pro Forma'!F58</f>
        <v>-252699.15947102249</v>
      </c>
      <c r="G758" s="2757">
        <f>'Part VI-Pro Forma'!G58</f>
        <v>-252699.15947102249</v>
      </c>
      <c r="H758" s="2757">
        <f>'Part VI-Pro Forma'!H58</f>
        <v>-252699.15947102249</v>
      </c>
      <c r="I758" s="2757">
        <f>'Part VI-Pro Forma'!I58</f>
        <v>-252699.15947102249</v>
      </c>
      <c r="J758" s="2757">
        <f>'Part VI-Pro Forma'!J58</f>
        <v>-252699.15947102249</v>
      </c>
      <c r="K758" s="2757">
        <f>'Part VI-Pro Forma'!K58</f>
        <v>-252699.15947102249</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2983939.9373456254</v>
      </c>
      <c r="C772" s="2757">
        <f>'Part VI-Pro Forma'!C72</f>
        <v>2954021.716465801</v>
      </c>
      <c r="D772" s="2757">
        <f>'Part VI-Pro Forma'!D72</f>
        <v>2921780.8663459271</v>
      </c>
      <c r="E772" s="2757">
        <f>'Part VI-Pro Forma'!E72</f>
        <v>2887037.0752419196</v>
      </c>
      <c r="F772" s="2757">
        <f>'Part VI-Pro Forma'!F72</f>
        <v>2849596.0333403968</v>
      </c>
      <c r="G772" s="2757">
        <f>'Part VI-Pro Forma'!G72</f>
        <v>2809248.3460521814</v>
      </c>
      <c r="H772" s="2757">
        <f>'Part VI-Pro Forma'!H72</f>
        <v>2765768.3629419515</v>
      </c>
      <c r="I772" s="2757">
        <f>'Part VI-Pro Forma'!I72</f>
        <v>2718912.9157446581</v>
      </c>
      <c r="J772" s="2757">
        <f>'Part VI-Pro Forma'!J72</f>
        <v>2668419.9584108773</v>
      </c>
      <c r="K772" s="2757">
        <f>'Part VI-Pro Forma'!K72</f>
        <v>2614007.1015753481</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-252699.15947102249</v>
      </c>
      <c r="C790" s="2757">
        <f>'Part VI-Pro Forma'!C90</f>
        <v>-252699.15947102249</v>
      </c>
      <c r="D790" s="2757">
        <f>'Part VI-Pro Forma'!D90</f>
        <v>-252699.15947102249</v>
      </c>
      <c r="E790" s="2757">
        <f>'Part VI-Pro Forma'!E90</f>
        <v>-252699.15947102249</v>
      </c>
      <c r="F790" s="2757">
        <f>'Part VI-Pro Forma'!F90</f>
        <v>-252699.15947102249</v>
      </c>
      <c r="G790" s="2757">
        <f>'Part VI-Pro Forma'!G90</f>
        <v>-252699.15947102249</v>
      </c>
      <c r="H790" s="2757">
        <f>'Part VI-Pro Forma'!H90</f>
        <v>-252699.15947102249</v>
      </c>
      <c r="I790" s="2757">
        <f>'Part VI-Pro Forma'!I90</f>
        <v>-252699.15947102249</v>
      </c>
      <c r="J790" s="2757">
        <f>'Part VI-Pro Forma'!J90</f>
        <v>-252699.15947102249</v>
      </c>
      <c r="K790" s="2757">
        <f>'Part VI-Pro Forma'!K90</f>
        <v>-252699.15947102249</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88440.634911679605</v>
      </c>
      <c r="C796" s="2757">
        <f>'Part VI-Pro Forma'!C96</f>
        <v>88483.182489333209</v>
      </c>
      <c r="D796" s="2757">
        <f>'Part VI-Pro Forma'!D96</f>
        <v>88319.373369240027</v>
      </c>
      <c r="E796" s="2757">
        <f>'Part VI-Pro Forma'!E96</f>
        <v>87937.920387965511</v>
      </c>
      <c r="F796" s="2757">
        <f>'Part VI-Pro Forma'!F96</f>
        <v>87328.204437924025</v>
      </c>
      <c r="G796" s="2757">
        <f>'Part VI-Pro Forma'!G96</f>
        <v>86479.262842464726</v>
      </c>
      <c r="H796" s="2757">
        <f>'Part VI-Pro Forma'!H96</f>
        <v>85379.777348886768</v>
      </c>
      <c r="I796" s="2757">
        <f>'Part VI-Pro Forma'!I96</f>
        <v>84017.061727241962</v>
      </c>
      <c r="J796" s="2757">
        <f>'Part VI-Pro Forma'!J96</f>
        <v>82378.048962423403</v>
      </c>
      <c r="K796" s="2757">
        <f>'Part VI-Pro Forma'!K96</f>
        <v>80451.278026644432</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2555370.0332524958</v>
      </c>
      <c r="C803" s="2757">
        <f>'Part VI-Pro Forma'!C103</f>
        <v>2492180.8169264421</v>
      </c>
      <c r="D803" s="2757">
        <f>'Part VI-Pro Forma'!D103</f>
        <v>2424086.0575173208</v>
      </c>
      <c r="E803" s="2757">
        <f>'Part VI-Pro Forma'!E103</f>
        <v>2350704.924966793</v>
      </c>
      <c r="F803" s="2757">
        <f>'Part VI-Pro Forma'!F103</f>
        <v>2271627.0243893689</v>
      </c>
      <c r="G803" s="2757">
        <f>'Part VI-Pro Forma'!G103</f>
        <v>2186410.1008780408</v>
      </c>
      <c r="H803" s="2757">
        <f>'Part VI-Pro Forma'!H103</f>
        <v>2094577.5661280125</v>
      </c>
      <c r="I803" s="2757">
        <f>'Part VI-Pro Forma'!I103</f>
        <v>1995615.8330458028</v>
      </c>
      <c r="J803" s="2757">
        <f>'Part VI-Pro Forma'!J103</f>
        <v>1888971.4434371244</v>
      </c>
      <c r="K803" s="2757">
        <f>'Part VI-Pro Forma'!K103</f>
        <v>1774047.9727097088</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-252699.15947102249</v>
      </c>
      <c r="C820" s="2757">
        <f>'Part VI-Pro Forma'!C120</f>
        <v>-252699.15947102249</v>
      </c>
      <c r="D820" s="2757">
        <f>'Part VI-Pro Forma'!D120</f>
        <v>-252699.15947102249</v>
      </c>
      <c r="E820" s="2757">
        <f>'Part VI-Pro Forma'!E120</f>
        <v>-252699.15947102249</v>
      </c>
      <c r="F820" s="2757">
        <f>'Part VI-Pro Forma'!F120</f>
        <v>-252699.15947102249</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1650202.6942801692</v>
      </c>
      <c r="C833" s="2757">
        <f>'Part VI-Pro Forma'!C133</f>
        <v>1516742.9850300958</v>
      </c>
      <c r="D833" s="2757">
        <f>'Part VI-Pro Forma'!D133</f>
        <v>1372922.4517083687</v>
      </c>
      <c r="E833" s="2757">
        <f>'Part VI-Pro Forma'!E133</f>
        <v>1217936.7566160157</v>
      </c>
      <c r="F833" s="2757">
        <f>'Part VI-Pro Forma'!F133</f>
        <v>1050919.1192281349</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Pateville Estates,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5101</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The proposed project is feasible, viable and will preserve affordable housing. The construction and development costs were thoroughly underwritten and reviewed by all members of the experienced development team.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3155</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proposed property is currently operating as a Family development. The tenancy will remain Family.</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The Applicant certifies they will meet all services requirements of the 2024-2025. The proposed acquisition/rehab is not of an existing congregate supportive housing.</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LLP</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0.97199999999999998</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0.34799999999999998</v>
      </c>
      <c r="J898" s="2484"/>
      <c r="K898" s="2484"/>
      <c r="L898" s="2780"/>
      <c r="M898" s="2781" t="s">
        <v>4661</v>
      </c>
      <c r="N898" s="2484" t="str">
        <f>'Part VII-Threshold Criteria'!N55</f>
        <v>N/A</v>
      </c>
      <c r="O898" s="2484"/>
      <c r="P898" s="2484"/>
      <c r="Q898" s="2484"/>
    </row>
    <row r="899" spans="1:17" ht="15">
      <c r="A899" s="2484"/>
      <c r="B899" s="2776" t="s">
        <v>3155</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Per the Market Study provided in Tab 8, the average vacancy rate reported by the affordable comparables was only 1.6%. All capure rates are within DCA Thresholds.The existing property has operated with an average occupancy of 97.4% over the past two years.</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t="str">
        <f>'Part VII-Threshold Criteria'!P65</f>
        <v>No</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Per the QAP, an appraisal is required for all applications. The appraisal will be provided at the Threshold Application Submission and will meet all requirements of the 2024-2025 QAP.</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Dominum Due Diligence Group</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3155</v>
      </c>
      <c r="C926" s="2484"/>
      <c r="D926" s="2776"/>
      <c r="E926" s="2776"/>
      <c r="F926" s="2776"/>
      <c r="G926" s="2776"/>
      <c r="H926" s="2485"/>
      <c r="I926" s="2486"/>
      <c r="J926" s="2486"/>
      <c r="K926" s="2486"/>
      <c r="L926" s="2487"/>
      <c r="M926" s="2487"/>
      <c r="N926" s="2487"/>
      <c r="O926" s="2487"/>
      <c r="P926" s="2487"/>
      <c r="Q926" s="2487"/>
    </row>
    <row r="927" spans="1:17" ht="14.25">
      <c r="A927" s="2484">
        <f>'Part VII-Threshold Criteria'!A84</f>
        <v>0</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Pateville Residences, LP</v>
      </c>
      <c r="H934" s="2484"/>
      <c r="I934" s="2484"/>
      <c r="J934" s="2484"/>
      <c r="K934" s="2484"/>
      <c r="L934" s="2484"/>
      <c r="M934" s="2484"/>
      <c r="N934" s="2484"/>
      <c r="O934" s="2484"/>
      <c r="P934" s="2484"/>
      <c r="Q934" s="2484"/>
    </row>
    <row r="935" spans="1:17" ht="15">
      <c r="A935" s="2484"/>
      <c r="B935" s="2776" t="s">
        <v>3155</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The Applicant has included all required site control documentation in Tab 8 of the application, which includes the purchase contract with evidence of site control through the end of the calendar year of Application Submission, waranty deed of the owner and the legal description.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3155</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proposed site is legally accessible by paved roads.</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3155</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application is a rehabiliation development with no new units being constructed. The current use, 76 single family homes, is allowable under the PD (PUD) - Planned Development zoning classification.</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f>'Part VII-Threshold Criteria'!J113</f>
        <v>0</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Georgia Power Company</v>
      </c>
      <c r="K957" s="2489"/>
      <c r="L957" s="2489"/>
      <c r="M957" s="2489"/>
      <c r="N957" s="2489"/>
      <c r="O957" s="2489"/>
      <c r="P957" s="2489"/>
      <c r="Q957" s="2489"/>
    </row>
    <row r="958" spans="1:17" ht="15">
      <c r="A958" s="2774"/>
      <c r="B958" s="2776" t="s">
        <v>3155</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 xml:space="preserve">Not applicable as the application is a rehabilitation development with no new units being constructed. </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City of Cordele</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City of Cordele</v>
      </c>
      <c r="K966" s="2489"/>
      <c r="L966" s="2489"/>
      <c r="M966" s="2489"/>
      <c r="N966" s="2489"/>
      <c r="O966" s="2489"/>
      <c r="P966" s="2489"/>
      <c r="Q966" s="2489"/>
    </row>
    <row r="967" spans="1:17" ht="15">
      <c r="A967" s="2484"/>
      <c r="B967" s="2776" t="s">
        <v>3155</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Not applicable as the application is a rehabilitation development with no new units being constructed.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Equipped playground</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Furnished Exercise /Fitness Center</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3155</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The proposed development is of Family tenancy.The Applicant certifies that they will meet the requirements of the 2024-2025 QAP and will provide the above Standard and Additional Site Amenities.</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Substantial Rehab Non-Gutted</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t="str">
        <f>'Part VII-Threshold Criteria'!H152</f>
        <v>Newbanks</v>
      </c>
      <c r="I995" s="2484"/>
      <c r="J995" s="2484"/>
      <c r="K995" s="2484"/>
      <c r="L995" s="2484"/>
      <c r="M995" s="2484"/>
      <c r="N995" s="2484"/>
      <c r="O995" s="2484"/>
      <c r="P995" s="2484"/>
      <c r="Q995" s="2484"/>
    </row>
    <row r="996" spans="1:17" ht="15">
      <c r="A996" s="2484"/>
      <c r="B996" s="2776" t="s">
        <v>3155</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 xml:space="preserve">The Applicant is proposing the renovation of all 76 units and accessory structures as detailed in the rehab work scope form that addresses all immediate needs identified in the PNA. </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The CSDP is included in Tab 8 of the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certifies that, at a minimum, all dwelling units will comply with the requirements of the 2024-2025 QAP.</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5039</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4798</v>
      </c>
      <c r="O1027" s="2779"/>
      <c r="P1027" s="2489">
        <f>'Part VII-Threshold Criteria'!P184</f>
        <v>4</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2</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Applicant agrees to comply with all accessibility standards and to engage a DCA-qualified third party consultant to monitor the project for accessibility compliance.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t="str">
        <f>'Part VII-Threshold Criteria'!C204</f>
        <v>NA</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t="str">
        <f>'Part VII-Threshold Criteria'!C205</f>
        <v>NA</v>
      </c>
      <c r="D1048" s="2484"/>
      <c r="E1048" s="2484"/>
      <c r="F1048" s="2484"/>
      <c r="G1048" s="2484"/>
      <c r="H1048" s="2484"/>
      <c r="I1048" s="2484"/>
      <c r="J1048" s="2484"/>
      <c r="K1048" s="2484"/>
      <c r="L1048" s="2484"/>
      <c r="M1048" s="2484"/>
      <c r="N1048" s="2484"/>
      <c r="O1048" s="2484"/>
      <c r="P1048" s="2484"/>
      <c r="Q1048" s="2484"/>
    </row>
    <row r="1049" spans="1:17" ht="1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Applicant certifies they will meet the standards and requiremnts of the 2024-2025 QAP, XVIII. Architectural Design &amp; Quality Standards section and the 2024 Architectural manual.</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No</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 as Probationary</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The Certifying Entity did not apply in 2023. The Applicant is adding an Other GP member, Simple Asset Management, LLC to the Partnership. The 2024 Qualification Determination Certifying GP/Developer (RR Jennings Developer, LLC/Stacy Hastie) was deemed Qualified as Probationary - this is the only application for the 2024 competitive round.</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5108</v>
      </c>
      <c r="C1074" s="2484"/>
      <c r="D1074" s="2484"/>
      <c r="E1074" s="2484"/>
      <c r="F1074" s="2484"/>
      <c r="G1074" s="2484" t="s">
        <v>5109</v>
      </c>
      <c r="H1074" s="2484"/>
      <c r="I1074" s="2484"/>
      <c r="J1074" s="2484"/>
      <c r="K1074" s="2484"/>
      <c r="L1074" s="2484"/>
      <c r="M1074" s="2484"/>
      <c r="N1074" s="2484"/>
      <c r="O1074" s="2484"/>
      <c r="P1074" s="2487" t="str">
        <f>'Part VII-Threshold Criteria'!P231</f>
        <v>Agree</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Applicant will preserve an existing housing tax credit development with 100% of the units restricted under a LURC.</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5008</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N/A</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Yes</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The proposed application is eligible for acquisition credits. The required legal opinion has been included in Tab 52 of application.</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Yes</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t="str">
        <f>'Part VII-Threshold Criteria'!P263</f>
        <v>No</v>
      </c>
      <c r="Q1106" s="2489"/>
    </row>
    <row r="1107" spans="1:17" ht="14.2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 xml:space="preserve">There will be no permanent displacement. </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Applicant agrees to comply with all AFFH requirements under the 2024 QAP.</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agrees and certifies that the proposed development will meet all Supportive Housing Requirements outlined in 2024-2025 QAP.</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certifies they will meet the requirements of the 2024-2025 QAP, XXV. Tenant Selection section and the 2024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certifies they will meet the requirements of the XXVI. DCA PBRA Agreement section and commits to accept DCA-administered Project-based Rental Assistance for units at the proposed development if funding is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Applicant believes the proposed application for the acquisition and rehabilitation is an optimal utilization of resources to preserve existing affordable housing and improve the much needed conditions at Pateville Estates - meeting all the goals and policies outlined in the DCA QAP.</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Pateville Estates,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71</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4606</v>
      </c>
      <c r="I1169" s="1997"/>
      <c r="J1169" s="1997" t="str">
        <f>'Part VIII Scoring Criteria'!J12</f>
        <v>Rural</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&lt;&lt; Select Scoring Track &gt;&gt;</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t="str">
        <f>'Part VIII Scoring Criteria'!G39</f>
        <v>Simple Asset Management, LLC</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f>'Part VIII Scoring Criteria'!G41</f>
        <v>5313</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0</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N/a</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2</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Yes</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Yes</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The QB will be a 20% General Partner owner in the partnership and will received 20% of the Developer Fee, an amount greater thena or eual to its ownershipinterest percentage.. Please see Tab 4 for certifcation form and draft development agreement. The QB is a member of the project team and will be actively engaged in the oversight, management and execution of the property.</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76</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N/A</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5024</v>
      </c>
      <c r="C1262" s="2028"/>
      <c r="D1262" s="2028"/>
      <c r="E1262" s="2028"/>
      <c r="F1262" s="2028"/>
      <c r="G1262" s="2028"/>
      <c r="H1262" s="2810"/>
      <c r="I1262" s="2028"/>
      <c r="J1262" s="2030">
        <f>'Part VIII Scoring Criteria'!J105</f>
        <v>7.6000000000000005</v>
      </c>
      <c r="K1262" s="2851">
        <v>0.1</v>
      </c>
      <c r="L1262" s="2028"/>
      <c r="M1262" s="2810" t="s">
        <v>5042</v>
      </c>
      <c r="N1262" s="2017"/>
      <c r="O1262" s="2027">
        <f>'Part VIII Scoring Criteria'!O105</f>
        <v>8</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Applicant commits to meet the requirements and is claiming points under Referrals without Project-based Rental Assistance Contract.</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N/A</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N/A</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the proposed application is for the 9% competitive round</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Applicant has included all required documenation for Readiness to Proceed in Tab 8 of the application. The proposed application is preservation of existing affordable housing and is not new construction nor adaptive reuse; therefore, Public Water/Sanitary Sewer and Operating Utiliies are not applicable/required. Although the Site Zoning letter is also not required for the proposed development type - the applicant has provided as in order for the above scoring to auto-populate, "Submitted" must be selected.</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57.89473684210526</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Applicant commits to meet all the requirements of the HCV and PHA Notices QAP section and agrees to utilize the PHA waiting list to identify households to fill vacant units.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 xml:space="preserve">The property location is eligible for a total of 25 Desirable Activities points; therefore, the maximum 20 points have been selected in this category. The proposed application is in the rural pool with a site location within one (1) mile from a Place of Worship, Family Dollar, Fire Station, Childcare Service, Restaurant and Elementary School and within 2.5 miles of a Public Park, Pharmacy, Community Center, Medical Care Provider, smaller size Public Park, Public Library, Federally Insured Banking Institution, Post Office, National Big Box General Merchandise Store and Supermarket. </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31.946639000000001</v>
      </c>
      <c r="G1329" s="1998"/>
      <c r="H1329" s="1998"/>
      <c r="I1329" s="1998"/>
      <c r="J1329" s="1998">
        <f>'Part VIII Scoring Criteria'!J172</f>
        <v>-83.793458000000001</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f>'Part VIII Scoring Criteria'!F173</f>
        <v>31.946639000000001</v>
      </c>
      <c r="G1330" s="1998"/>
      <c r="H1330" s="1998"/>
      <c r="I1330" s="1998"/>
      <c r="J1330" s="1998">
        <f>'Part VIII Scoring Criteria'!J173</f>
        <v>-83.793458000000001</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Crisp Area Rural Transit</v>
      </c>
      <c r="C1332" s="1998"/>
      <c r="D1332" s="1998"/>
      <c r="E1332" s="1998"/>
      <c r="F1332" s="2874">
        <f>'Part VIII Scoring Criteria'!F175</f>
        <v>2292760370</v>
      </c>
      <c r="G1332" s="1998" t="str">
        <f>'Part VIII Scoring Criteria'!G175</f>
        <v>sleverett@crispcounty.com</v>
      </c>
      <c r="H1332" s="1998"/>
      <c r="I1332" s="1998"/>
      <c r="J1332" s="1998" t="str">
        <f>'Part VIII Scoring Criteria'!J175</f>
        <v>https://crispcounty.com/public-transportation</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The proposed application is in the Rural pool. Crisp Area Rural Transit is a publicly operated and sponsered transit service and provides reliable on-call and on-site pickup transit services throughout Crisp County and is availble to all residents at Pateville Estates.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Crisp County Primary School</v>
      </c>
      <c r="C1351" s="1998"/>
      <c r="D1351" s="1998"/>
      <c r="E1351" s="1998"/>
      <c r="F1351" s="1998" t="str">
        <f>'Part VIII Scoring Criteria'!F194</f>
        <v>No</v>
      </c>
      <c r="G1351" s="1998"/>
      <c r="H1351" s="1998" t="str">
        <f>'Part VIII Scoring Criteria'!H194</f>
        <v>No</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Crisp County Elementary School</v>
      </c>
      <c r="C1352" s="1998"/>
      <c r="D1352" s="1998"/>
      <c r="E1352" s="1998"/>
      <c r="F1352" s="1998" t="str">
        <f>'Part VIII Scoring Criteria'!F195</f>
        <v>No</v>
      </c>
      <c r="G1352" s="1998"/>
      <c r="H1352" s="1998" t="str">
        <f>'Part VIII Scoring Criteria'!H195</f>
        <v>No</v>
      </c>
      <c r="I1352" s="1998"/>
      <c r="J1352" s="1998" t="str">
        <f>'Part VIII Scoring Criteria'!J195</f>
        <v>Yes</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Crisp County Middle School</v>
      </c>
      <c r="C1353" s="1998"/>
      <c r="D1353" s="1998"/>
      <c r="E1353" s="1998"/>
      <c r="F1353" s="1998" t="str">
        <f>'Part VIII Scoring Criteria'!F196</f>
        <v>No</v>
      </c>
      <c r="G1353" s="1998"/>
      <c r="H1353" s="1998" t="str">
        <f>'Part VIII Scoring Criteria'!H196</f>
        <v>Yes</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t="str">
        <f>'Part VIII Scoring Criteria'!B197</f>
        <v>Crisp County High School</v>
      </c>
      <c r="C1354" s="1998"/>
      <c r="D1354" s="1998"/>
      <c r="E1354" s="1998"/>
      <c r="F1354" s="1998" t="str">
        <f>'Part VIII Scoring Criteria'!F197</f>
        <v>No</v>
      </c>
      <c r="G1354" s="1998"/>
      <c r="H1354" s="1998" t="str">
        <f>'Part VIII Scoring Criteria'!H197</f>
        <v>No</v>
      </c>
      <c r="I1354" s="1998"/>
      <c r="J1354" s="1998" t="str">
        <f>'Part VIII Scoring Criteria'!J197</f>
        <v>Yes</v>
      </c>
      <c r="K1354" s="1998"/>
      <c r="L1354" s="1997" t="str">
        <f>'Part VIII Scoring Criteria'!L197</f>
        <v>Yes</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The property location is in the attendance zone of Crisp County Primary (grades KK - 03), Crisp County Elementary (grades 4 - 5), Crisp County Middle (grades 6 -8) and Crisp County High (grades 9-12). Crisp County Middle school received 2019 BTO designation. Crisp County Primary, Crisp County Middle and Crisp County High all are eligible under DCA's Option C. Total grades covered include KK, 01, 02, 03, 06, 07, 08, 09, 10, 11, 12 (11 grades) and is therefore eligible for 1.5 points.</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N/A</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5021</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4990</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4991</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4992</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N/A</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N/A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4896</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N/A</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3284</v>
      </c>
      <c r="B1466" s="2464" t="s">
        <v>4851</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N/A</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commits to accept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3290</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Cordele-Crisp County</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Please see Tab 24 of the application for the GICH team support letter as well as the City support letter for the issuance of the letter by the GICH team.</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3291</v>
      </c>
      <c r="B1517" s="2464" t="s">
        <v>4852</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28</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2</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Ineligible, not Preservation!</v>
      </c>
      <c r="L1524" s="2842" t="s">
        <v>4896</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3250</v>
      </c>
      <c r="E1528" s="1998"/>
      <c r="F1528" s="2852"/>
      <c r="G1528" s="1998"/>
      <c r="H1528" s="1998"/>
      <c r="I1528" s="1998"/>
      <c r="J1528" s="2897">
        <f>'Part VIII Scoring Criteria'!J379</f>
        <v>1.5</v>
      </c>
      <c r="K1528" s="2903">
        <f>$P$190</f>
        <v>20000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4997</v>
      </c>
      <c r="D1529" s="1998"/>
      <c r="E1529" s="1998"/>
      <c r="F1529" s="2852"/>
      <c r="G1529" s="1998"/>
      <c r="H1529" s="1998"/>
      <c r="I1529" s="2861" t="s">
        <v>4998</v>
      </c>
      <c r="J1529" s="2897">
        <f>'Part VIII Scoring Criteria'!J380</f>
        <v>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Originally placed in service in 2004, Pateville Estates has an average trailing 24 month occupancy of 97.41%. With average occupancy over the trailing 24 months the project is eligible for the maximim 6 points under Section A. Occupancy. Evidence for this is included in tab 25 of the application. With a placed in service date of 2004 the project is eligible for 2 points under Section C. Property Age. Support documentation regarding property age is included in tab 25 of the application. Applicant is claiming points under B. Rent Advantage for the 60% Housing Credit rent limits being at a 25% or greater discount to market rents.</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71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XXI. MIXED INCOME DEVELOPMENTS: This section does not apply to preservation applications.</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2473</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4947</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4168</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08" t="s">
        <v>3107</v>
      </c>
      <c r="C19" s="4008"/>
      <c r="D19" s="4008"/>
      <c r="E19" s="4008"/>
      <c r="F19" s="4008"/>
      <c r="G19" s="4008"/>
      <c r="H19" s="4008"/>
      <c r="I19" s="4008"/>
      <c r="J19" s="4008"/>
      <c r="K19" s="4008"/>
      <c r="L19" s="4008"/>
      <c r="M19" s="4008"/>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9"/>
  <sheetViews>
    <sheetView showGridLines="0" workbookViewId="0">
      <selection activeCell="L4" sqref="L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Pateville Estates</v>
      </c>
      <c r="E3" s="4078"/>
      <c r="F3" s="4078"/>
      <c r="G3" s="4078"/>
      <c r="H3" s="4078"/>
      <c r="I3" s="4078"/>
      <c r="J3" s="4079" t="s">
        <v>4068</v>
      </c>
      <c r="K3" s="4080"/>
    </row>
    <row r="4" spans="1:11" ht="15" customHeight="1">
      <c r="A4" s="1269" t="s">
        <v>3840</v>
      </c>
      <c r="B4" s="1270"/>
      <c r="C4" s="1271"/>
      <c r="D4" s="4081"/>
      <c r="E4" s="4082"/>
      <c r="F4" s="4082"/>
      <c r="G4" s="4082"/>
      <c r="H4" s="4082"/>
      <c r="I4" s="4082"/>
      <c r="J4" s="4083" t="s">
        <v>3881</v>
      </c>
      <c r="K4" s="4084"/>
    </row>
    <row r="5" spans="1:11" ht="15" customHeight="1" thickBot="1">
      <c r="A5" s="1272" t="s">
        <v>3841</v>
      </c>
      <c r="B5" s="1273"/>
      <c r="C5" s="1274"/>
      <c r="D5" s="4087"/>
      <c r="E5" s="4088"/>
      <c r="F5" s="4088"/>
      <c r="G5" s="4088"/>
      <c r="H5" s="4088"/>
      <c r="I5" s="4088"/>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482">
        <v>1</v>
      </c>
      <c r="D8" s="1289" t="s">
        <v>3844</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482">
        <v>2</v>
      </c>
      <c r="D11" s="1289" t="s">
        <v>3846</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483">
        <v>3</v>
      </c>
      <c r="D14" s="1293" t="s">
        <v>3848</v>
      </c>
      <c r="E14" s="1293"/>
      <c r="F14" s="1293"/>
      <c r="G14" s="1293"/>
      <c r="H14" s="1293"/>
      <c r="I14" s="1293"/>
      <c r="J14" s="4098"/>
      <c r="K14" s="4099"/>
    </row>
    <row r="15" spans="1:11" ht="14.25" customHeight="1">
      <c r="A15" s="1270"/>
      <c r="B15" s="1270"/>
      <c r="C15" s="1484">
        <v>4</v>
      </c>
      <c r="D15" s="1270" t="s">
        <v>3849</v>
      </c>
      <c r="E15" s="1270"/>
      <c r="F15" s="1270"/>
      <c r="G15" s="1270"/>
      <c r="H15" s="1270"/>
      <c r="I15" s="1270"/>
      <c r="J15" s="4063"/>
      <c r="K15" s="4064"/>
    </row>
    <row r="16" spans="1:11" ht="14.25" customHeight="1">
      <c r="A16" s="1270"/>
      <c r="B16" s="1270"/>
      <c r="C16" s="1484">
        <v>5</v>
      </c>
      <c r="D16" s="1270" t="s">
        <v>3850</v>
      </c>
      <c r="E16" s="1270"/>
      <c r="F16" s="1270"/>
      <c r="G16" s="1270"/>
      <c r="H16" s="1270"/>
      <c r="I16" s="1270"/>
      <c r="J16" s="4063"/>
      <c r="K16" s="4064"/>
    </row>
    <row r="17" spans="1:13" ht="14.25" customHeight="1">
      <c r="A17" s="1270"/>
      <c r="B17" s="1270"/>
      <c r="C17" s="1485">
        <v>6</v>
      </c>
      <c r="D17" s="1273" t="s">
        <v>3851</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3852</v>
      </c>
      <c r="E19" s="1293"/>
      <c r="F19" s="1293"/>
      <c r="G19" s="1293"/>
      <c r="H19" s="1293"/>
      <c r="I19" s="1293"/>
      <c r="J19" s="4089" t="str">
        <f>IF(J17="No",J14-J15,IF(J17="Yes",J14-J15-J16,"Error"))</f>
        <v>Error</v>
      </c>
      <c r="K19" s="4090"/>
    </row>
    <row r="20" spans="1:13" ht="14.25" customHeight="1">
      <c r="A20" s="1270"/>
      <c r="B20" s="1270"/>
      <c r="C20" s="148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057" t="s">
        <v>4068</v>
      </c>
      <c r="C31" s="4057"/>
      <c r="D31" s="4057"/>
      <c r="E31" s="4057"/>
      <c r="F31" s="4057"/>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036" t="s">
        <v>3868</v>
      </c>
      <c r="H57" s="4037"/>
      <c r="I57" s="4034" t="s">
        <v>3882</v>
      </c>
      <c r="J57" s="4035"/>
      <c r="K57" s="4038"/>
      <c r="L57" s="4074" t="s">
        <v>5026</v>
      </c>
      <c r="M57" s="4075"/>
    </row>
    <row r="58" spans="1:13" ht="15" customHeight="1">
      <c r="A58" s="1388"/>
      <c r="B58" s="1318"/>
      <c r="C58" s="1296">
        <f>SUMIF(C33:C51, "0", H33:H51)</f>
        <v>0</v>
      </c>
      <c r="D58" s="1399">
        <f t="shared" ref="D58:D63" si="4">ROUNDUP(C58*1.1,0)</f>
        <v>0</v>
      </c>
      <c r="E58" s="4040" t="s">
        <v>3869</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2455</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2456</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2459</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3870</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3871</v>
      </c>
      <c r="F63" s="4025"/>
      <c r="G63" s="4021" t="e">
        <f>#REF!</f>
        <v>#REF!</v>
      </c>
      <c r="H63" s="4022"/>
      <c r="I63" s="4026" t="e">
        <f t="shared" si="5"/>
        <v>#REF!</v>
      </c>
      <c r="J63" s="4026"/>
      <c r="K63" s="1321"/>
      <c r="L63" s="4076"/>
      <c r="M63" s="4075"/>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4426</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4425</v>
      </c>
      <c r="M5" s="1717" t="e">
        <f>#REF!</f>
        <v>#REF!</v>
      </c>
      <c r="N5" s="1718"/>
      <c r="O5" s="1719"/>
      <c r="P5" s="4232"/>
      <c r="Q5" s="4278"/>
      <c r="R5" s="1516"/>
      <c r="S5" s="1516"/>
    </row>
    <row r="6" spans="1:19" ht="17.25" customHeight="1">
      <c r="A6" s="96" t="s">
        <v>4424</v>
      </c>
      <c r="I6" s="489"/>
      <c r="J6" s="489"/>
      <c r="K6" s="4227" t="s">
        <v>3196</v>
      </c>
      <c r="L6" s="4227"/>
      <c r="M6" s="4227"/>
      <c r="N6" s="4227"/>
      <c r="O6" s="4228"/>
      <c r="P6" s="4222"/>
      <c r="Q6" s="4223"/>
      <c r="R6" s="1516"/>
      <c r="S6" s="1516"/>
    </row>
    <row r="7" spans="1:19" ht="12.6" customHeight="1">
      <c r="A7" s="97" t="s">
        <v>2982</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1" t="s">
        <v>1878</v>
      </c>
      <c r="S8" s="2907"/>
    </row>
    <row r="9" spans="1:19" ht="23.25" customHeight="1">
      <c r="A9" s="4206" t="s">
        <v>218</v>
      </c>
      <c r="B9" s="4207"/>
      <c r="C9" s="4207"/>
      <c r="D9" s="4207"/>
      <c r="E9" s="4207"/>
      <c r="F9" s="4207"/>
      <c r="G9" s="4207"/>
      <c r="H9" s="4207"/>
      <c r="I9" s="4207"/>
      <c r="J9" s="4207"/>
      <c r="K9" s="4207"/>
      <c r="L9" s="4207"/>
      <c r="M9" s="4207"/>
      <c r="N9" s="4207"/>
      <c r="O9" s="4207"/>
      <c r="P9" s="4207"/>
      <c r="Q9" s="4208"/>
      <c r="R9" s="2911"/>
      <c r="S9" s="2907"/>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1"/>
      <c r="S10" s="2907"/>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1"/>
      <c r="S11" s="2907"/>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1"/>
      <c r="S15" s="2907"/>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1"/>
      <c r="S16" s="2907"/>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1"/>
      <c r="S17" s="2907"/>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1"/>
      <c r="S18" s="2907"/>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1"/>
      <c r="S19" s="2907"/>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1"/>
      <c r="S20" s="2907"/>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1"/>
      <c r="S22" s="2907"/>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1"/>
      <c r="S23" s="2907"/>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1"/>
      <c r="S24" s="2907"/>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1"/>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09"/>
      <c r="Q27" s="4110"/>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4536</v>
      </c>
      <c r="C35" s="4"/>
      <c r="D35" s="4"/>
      <c r="E35" s="874"/>
      <c r="F35" s="874"/>
      <c r="H35" s="874"/>
      <c r="J35" s="2965" t="s">
        <v>4362</v>
      </c>
      <c r="K35" s="2966"/>
      <c r="L35" s="2967"/>
      <c r="M35" s="147" t="s">
        <v>1642</v>
      </c>
      <c r="N35" s="4100"/>
      <c r="O35" s="4101"/>
      <c r="P35" s="4101"/>
      <c r="Q35" s="4102"/>
    </row>
    <row r="36" spans="1:31" ht="12.75" customHeight="1">
      <c r="A36" s="2"/>
      <c r="B36" s="108" t="s">
        <v>4535</v>
      </c>
      <c r="C36" s="4"/>
      <c r="D36" s="4"/>
      <c r="E36" s="874"/>
      <c r="F36" s="874"/>
      <c r="G36" s="1576"/>
      <c r="H36" s="874"/>
      <c r="J36" s="2965" t="s">
        <v>4363</v>
      </c>
      <c r="K36" s="2966"/>
      <c r="L36" s="2967"/>
      <c r="M36" s="147" t="s">
        <v>1642</v>
      </c>
      <c r="N36" s="4100"/>
      <c r="O36" s="4101"/>
      <c r="P36" s="4101"/>
      <c r="Q36" s="4102"/>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09"/>
      <c r="Q40" s="4110"/>
    </row>
    <row r="41" spans="1:31" ht="1.5" customHeight="1"/>
    <row r="42" spans="1:31" ht="12" customHeight="1">
      <c r="A42" s="110" t="s">
        <v>1836</v>
      </c>
      <c r="B42" s="4103" t="s">
        <v>3660</v>
      </c>
      <c r="C42" s="4103"/>
      <c r="D42" s="4103"/>
      <c r="E42" s="4103"/>
      <c r="F42" s="4103"/>
      <c r="G42" s="4103"/>
      <c r="H42" s="4103"/>
      <c r="I42" s="4103"/>
      <c r="J42" s="4103"/>
      <c r="K42" s="115"/>
      <c r="L42" s="346" t="s">
        <v>2573</v>
      </c>
      <c r="M42" s="1144">
        <v>2</v>
      </c>
      <c r="N42" s="108" t="s">
        <v>3892</v>
      </c>
      <c r="P42" s="4255"/>
      <c r="Q42" s="4265"/>
    </row>
    <row r="43" spans="1:31" ht="12" customHeight="1">
      <c r="A43" s="110"/>
      <c r="B43" s="4103"/>
      <c r="C43" s="4103"/>
      <c r="D43" s="4103"/>
      <c r="E43" s="4103"/>
      <c r="F43" s="4103"/>
      <c r="G43" s="4103"/>
      <c r="H43" s="4103"/>
      <c r="I43" s="4103"/>
      <c r="J43" s="4103"/>
      <c r="K43" s="115"/>
      <c r="L43" s="346" t="s">
        <v>3664</v>
      </c>
      <c r="M43" s="1145">
        <v>4</v>
      </c>
      <c r="O43" s="111"/>
      <c r="P43" s="4256"/>
      <c r="Q43" s="4266"/>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26"/>
      <c r="M50" s="4127"/>
      <c r="N50" s="4127"/>
      <c r="O50" s="4127"/>
      <c r="P50" s="4127"/>
      <c r="Q50" s="4205"/>
    </row>
    <row r="51" spans="1:31" ht="12.75" customHeight="1">
      <c r="A51" s="112"/>
      <c r="B51" s="371" t="s">
        <v>1446</v>
      </c>
      <c r="C51" s="4103" t="s">
        <v>3670</v>
      </c>
      <c r="D51" s="4103"/>
      <c r="E51" s="4103"/>
      <c r="F51" s="4103"/>
      <c r="G51" s="4103"/>
      <c r="H51" s="4103"/>
      <c r="I51" s="4103"/>
      <c r="J51" s="4103"/>
      <c r="K51" s="4103"/>
      <c r="L51" s="4103"/>
      <c r="M51" s="412"/>
      <c r="N51" s="108" t="s">
        <v>3897</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3821</v>
      </c>
      <c r="D59" s="103"/>
      <c r="E59" s="103"/>
      <c r="F59" s="103"/>
      <c r="L59" s="48" t="s">
        <v>1838</v>
      </c>
      <c r="M59" s="4253"/>
      <c r="N59" s="4254"/>
      <c r="O59" s="4254"/>
      <c r="P59" s="3207"/>
      <c r="Q59" s="419"/>
    </row>
    <row r="60" spans="1:31" ht="12.75" customHeight="1">
      <c r="A60" s="40" t="s">
        <v>697</v>
      </c>
      <c r="B60" s="29" t="s">
        <v>2550</v>
      </c>
      <c r="D60" s="103"/>
      <c r="E60" s="103"/>
      <c r="F60" s="103"/>
      <c r="L60" s="48" t="s">
        <v>697</v>
      </c>
      <c r="M60" s="4249"/>
      <c r="N60" s="4250"/>
      <c r="O60" s="4250"/>
      <c r="P60" s="425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3" t="s">
        <v>3824</v>
      </c>
      <c r="D84" s="4103"/>
      <c r="E84" s="4103"/>
      <c r="F84" s="4103"/>
      <c r="G84" s="4103"/>
      <c r="H84" s="4103"/>
      <c r="I84" s="4103"/>
      <c r="J84" s="4103"/>
      <c r="K84" s="4103"/>
      <c r="L84" s="4103"/>
      <c r="M84" s="4103"/>
      <c r="N84" s="4103"/>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4427</v>
      </c>
      <c r="O92" s="101" t="s">
        <v>1726</v>
      </c>
      <c r="P92" s="4109"/>
      <c r="Q92" s="4110"/>
      <c r="R92" s="847" t="s">
        <v>4414</v>
      </c>
    </row>
    <row r="93" spans="1:31" ht="6.6" customHeight="1"/>
    <row r="94" spans="1:31">
      <c r="A94" s="40" t="s">
        <v>1836</v>
      </c>
      <c r="B94" s="29" t="s">
        <v>4083</v>
      </c>
      <c r="D94" s="103"/>
      <c r="E94" s="103"/>
      <c r="F94" s="103"/>
      <c r="G94" s="103"/>
      <c r="H94" s="103"/>
      <c r="I94" s="35"/>
      <c r="J94" s="35"/>
      <c r="K94" s="48" t="s">
        <v>1836</v>
      </c>
      <c r="L94" s="4148"/>
      <c r="M94" s="4148"/>
      <c r="N94" s="4148"/>
      <c r="O94" s="4148"/>
      <c r="P94" s="4149"/>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09"/>
      <c r="Q130" s="4110"/>
      <c r="R130" s="847" t="s">
        <v>4414</v>
      </c>
    </row>
    <row r="131" spans="1:31" ht="12" customHeight="1">
      <c r="A131" s="40" t="s">
        <v>1836</v>
      </c>
      <c r="B131" s="113" t="s">
        <v>1611</v>
      </c>
      <c r="C131" s="29" t="s">
        <v>4429</v>
      </c>
      <c r="D131" s="29"/>
      <c r="E131" s="29"/>
      <c r="F131" s="29"/>
      <c r="G131" s="29"/>
      <c r="K131" s="29" t="s">
        <v>2453</v>
      </c>
      <c r="M131" s="4212"/>
      <c r="N131" s="4213"/>
      <c r="O131" s="49" t="s">
        <v>1611</v>
      </c>
      <c r="P131" s="74"/>
      <c r="Q131" s="416"/>
    </row>
    <row r="132" spans="1:31" ht="12" customHeight="1">
      <c r="A132" s="40"/>
      <c r="B132" s="113" t="s">
        <v>1612</v>
      </c>
      <c r="C132" s="29" t="s">
        <v>3925</v>
      </c>
      <c r="D132" s="29"/>
      <c r="E132" s="29"/>
      <c r="F132" s="29"/>
      <c r="G132" s="29"/>
      <c r="K132" s="29" t="s">
        <v>2453</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4693</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4089</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3148</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3675</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3149</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3708</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4" t="s">
        <v>2420</v>
      </c>
      <c r="C151" s="3504"/>
      <c r="D151" s="3504"/>
      <c r="E151" s="236"/>
      <c r="N151" s="845" t="s">
        <v>4427</v>
      </c>
      <c r="O151" s="101" t="s">
        <v>1726</v>
      </c>
      <c r="P151" s="4109"/>
      <c r="Q151" s="4110"/>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3150</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3221</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09"/>
      <c r="Q169" s="4110"/>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3155</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09"/>
      <c r="Q177" s="4110"/>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4090</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7" t="s">
        <v>3731</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3312</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2" t="s">
        <v>3312</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96" t="s">
        <v>949</v>
      </c>
      <c r="D202" s="4197"/>
      <c r="E202" s="4197"/>
      <c r="F202" s="4197"/>
      <c r="G202" s="4198"/>
      <c r="H202" s="48" t="s">
        <v>3741</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4637</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09"/>
      <c r="Q217" s="4110"/>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4016</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4092</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4103</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4104</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3160</v>
      </c>
      <c r="C246" s="4133"/>
      <c r="D246" s="4133"/>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4399</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3901</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3926</v>
      </c>
      <c r="D260" s="4103"/>
      <c r="E260" s="4103"/>
      <c r="F260" s="4103"/>
      <c r="G260" s="4103"/>
      <c r="H260" s="4103"/>
      <c r="I260" s="4103"/>
      <c r="J260" s="4103"/>
      <c r="K260" s="4103"/>
      <c r="L260" s="4103"/>
      <c r="M260" s="4103"/>
      <c r="N260" s="4103"/>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4021</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3723</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2500</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3248</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4550</v>
      </c>
      <c r="D284" s="4103"/>
      <c r="E284" s="4103"/>
      <c r="F284" s="4103"/>
      <c r="G284" s="4103"/>
      <c r="H284" s="4103"/>
      <c r="I284" s="4103"/>
      <c r="J284" s="4103"/>
      <c r="K284" s="4103"/>
      <c r="L284" s="4103"/>
      <c r="M284" s="4103"/>
      <c r="N284" s="4103"/>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4551</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4098</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4101</v>
      </c>
      <c r="E288" s="4103"/>
      <c r="F288" s="4103"/>
      <c r="G288" s="4103"/>
      <c r="H288" s="4103"/>
      <c r="I288" s="108"/>
      <c r="J288" s="4111" t="s">
        <v>3181</v>
      </c>
      <c r="K288" s="4137"/>
      <c r="L288" s="4137"/>
      <c r="M288" s="4241" t="s">
        <v>3162</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4102</v>
      </c>
      <c r="E291" s="4103"/>
      <c r="F291" s="4103"/>
      <c r="G291" s="4103"/>
      <c r="H291" s="4103"/>
      <c r="I291" s="369" t="s">
        <v>3299</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4634</v>
      </c>
      <c r="D293" s="4103"/>
      <c r="E293" s="4103"/>
      <c r="F293" s="4103"/>
      <c r="G293" s="4103"/>
      <c r="H293" s="4103"/>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4613</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4552</v>
      </c>
      <c r="D299" s="4103"/>
      <c r="E299" s="4103"/>
      <c r="F299" s="4103"/>
      <c r="G299" s="4103"/>
      <c r="H299" s="4103"/>
      <c r="I299" s="4103"/>
      <c r="J299" s="4103"/>
      <c r="K299" s="4103"/>
      <c r="L299" s="4103"/>
      <c r="M299" s="4103"/>
      <c r="N299" s="4103"/>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3709</v>
      </c>
      <c r="D300" s="4103"/>
      <c r="E300" s="4103"/>
      <c r="F300" s="4103"/>
      <c r="G300" s="4103"/>
      <c r="H300" s="4103"/>
      <c r="I300" s="4103"/>
      <c r="J300" s="4103"/>
      <c r="K300" s="4103"/>
      <c r="L300" s="4103"/>
      <c r="M300" s="4103"/>
      <c r="N300" s="4103"/>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3084</v>
      </c>
      <c r="D301" s="4103"/>
      <c r="E301" s="4103"/>
      <c r="F301" s="4103"/>
      <c r="G301" s="4103"/>
      <c r="H301" s="4103"/>
      <c r="I301" s="4103"/>
      <c r="J301" s="4103"/>
      <c r="K301" s="4103"/>
      <c r="L301" s="4103"/>
      <c r="M301" s="4103"/>
      <c r="N301" s="4103"/>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3085</v>
      </c>
      <c r="D302" s="4103"/>
      <c r="E302" s="4103"/>
      <c r="F302" s="4103"/>
      <c r="G302" s="4103"/>
      <c r="H302" s="4103"/>
      <c r="I302" s="4103"/>
      <c r="J302" s="4103"/>
      <c r="K302" s="4103"/>
      <c r="L302" s="4103"/>
      <c r="M302" s="4103"/>
      <c r="N302" s="4103"/>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4562</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3" t="s">
        <v>1065</v>
      </c>
      <c r="D315" s="4103"/>
      <c r="E315" s="4103"/>
      <c r="F315" s="4195"/>
      <c r="G315" s="3021"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129" t="s">
        <v>4023</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4024</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09"/>
      <c r="Q326" s="4110"/>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178" t="s">
        <v>1641</v>
      </c>
      <c r="O329" s="4179"/>
      <c r="P329" s="4180" t="s">
        <v>1641</v>
      </c>
      <c r="Q329" s="4181"/>
    </row>
    <row r="330" spans="1:256" ht="11.65" customHeight="1">
      <c r="A330" s="40" t="s">
        <v>1957</v>
      </c>
      <c r="B330" s="44" t="s">
        <v>4432</v>
      </c>
      <c r="O330" s="48" t="s">
        <v>1957</v>
      </c>
      <c r="P330" s="1337"/>
      <c r="Q330" s="1336"/>
    </row>
    <row r="331" spans="1:256" ht="11.65" customHeight="1">
      <c r="A331" s="110" t="s">
        <v>1609</v>
      </c>
      <c r="B331" s="44" t="s">
        <v>4433</v>
      </c>
      <c r="N331" s="128" t="s">
        <v>1609</v>
      </c>
      <c r="O331" s="4172" t="s">
        <v>2552</v>
      </c>
      <c r="P331" s="4173"/>
      <c r="Q331" s="4174"/>
    </row>
    <row r="332" spans="1:256" ht="11.65" customHeight="1">
      <c r="A332" s="110" t="s">
        <v>1610</v>
      </c>
      <c r="B332" s="67" t="s">
        <v>2164</v>
      </c>
      <c r="N332" s="128" t="s">
        <v>1610</v>
      </c>
      <c r="O332" s="4238" t="s">
        <v>2552</v>
      </c>
      <c r="P332" s="4239"/>
      <c r="Q332" s="4240"/>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3" t="s">
        <v>4580</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4581</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4582</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3270</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3271</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3262</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3263</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3265</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3" t="s">
        <v>3267</v>
      </c>
      <c r="C363" s="4103"/>
      <c r="D363" s="4103"/>
      <c r="E363" s="4103"/>
      <c r="F363" s="4103"/>
      <c r="G363" s="4103"/>
      <c r="H363" s="4103"/>
      <c r="I363" s="4103"/>
      <c r="J363" s="4103"/>
      <c r="K363" s="4103"/>
      <c r="L363" s="4103"/>
      <c r="M363" s="4103"/>
      <c r="N363" s="4103"/>
      <c r="O363" s="128" t="s">
        <v>2932</v>
      </c>
      <c r="P363" s="881"/>
      <c r="Q363" s="880"/>
    </row>
    <row r="364" spans="1:31" ht="33" customHeight="1">
      <c r="A364" s="110" t="s">
        <v>572</v>
      </c>
      <c r="B364" s="4103" t="s">
        <v>3268</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2997</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3117</v>
      </c>
      <c r="G374" s="876"/>
      <c r="H374" s="876"/>
      <c r="I374" s="876"/>
      <c r="J374" s="33" t="s">
        <v>3118</v>
      </c>
      <c r="L374" s="876"/>
      <c r="M374" s="4170" t="e">
        <f>#REF!</f>
        <v>#REF!</v>
      </c>
      <c r="N374" s="4171"/>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123"/>
      <c r="Q391" s="4124"/>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3"/>
      <c r="Q395" s="4201"/>
    </row>
    <row r="396" spans="1:31" ht="12" customHeight="1">
      <c r="A396" s="40"/>
      <c r="D396" s="29" t="s">
        <v>4398</v>
      </c>
      <c r="E396" s="29"/>
      <c r="F396" s="29"/>
      <c r="G396" s="29"/>
      <c r="H396" s="29"/>
      <c r="I396" s="29"/>
      <c r="J396" s="29"/>
      <c r="K396" s="29"/>
      <c r="L396" s="29"/>
      <c r="M396" s="29"/>
      <c r="N396" s="35"/>
      <c r="O396" s="1335"/>
      <c r="P396" s="4204"/>
      <c r="Q396" s="4202"/>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4051</v>
      </c>
      <c r="D400" s="4103"/>
      <c r="E400" s="4103"/>
      <c r="F400" s="4103"/>
      <c r="G400" s="29" t="s">
        <v>3818</v>
      </c>
      <c r="J400" s="705"/>
      <c r="K400" s="425"/>
      <c r="M400" s="29" t="s">
        <v>4122</v>
      </c>
      <c r="P400" s="1670"/>
      <c r="Q400" s="1671"/>
    </row>
    <row r="401" spans="1:44" ht="12" customHeight="1">
      <c r="A401" s="40"/>
      <c r="C401" s="4103"/>
      <c r="D401" s="4103"/>
      <c r="E401" s="4103"/>
      <c r="F401" s="4103"/>
      <c r="G401" s="29" t="s">
        <v>4121</v>
      </c>
      <c r="J401" s="706"/>
      <c r="K401" s="426"/>
      <c r="M401" s="29" t="s">
        <v>4123</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4078</v>
      </c>
      <c r="J403" s="4111" t="s">
        <v>4079</v>
      </c>
      <c r="K403" s="4111" t="s">
        <v>4081</v>
      </c>
      <c r="L403" s="4111"/>
      <c r="M403" s="4111"/>
      <c r="N403" s="4150" t="s">
        <v>4080</v>
      </c>
      <c r="O403" s="48"/>
      <c r="P403" s="4274" t="s">
        <v>4592</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4192</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4193</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108" t="s">
        <v>4126</v>
      </c>
      <c r="E416" s="351" t="s">
        <v>2257</v>
      </c>
      <c r="F416" s="44" t="s">
        <v>3203</v>
      </c>
      <c r="G416" s="4104"/>
      <c r="H416" s="4105"/>
      <c r="I416" s="4105"/>
      <c r="J416" s="4105"/>
      <c r="K416" s="4106"/>
      <c r="L416" s="351"/>
    </row>
    <row r="417" spans="1:31" ht="12" customHeight="1">
      <c r="B417" s="115"/>
      <c r="D417" s="4108"/>
      <c r="E417" s="351" t="s">
        <v>3815</v>
      </c>
      <c r="F417" s="44" t="s">
        <v>3816</v>
      </c>
      <c r="G417" s="4161" t="s">
        <v>3120</v>
      </c>
      <c r="H417" s="4162"/>
      <c r="I417" s="4163"/>
      <c r="J417" s="44" t="s">
        <v>3678</v>
      </c>
      <c r="K417" s="115"/>
      <c r="M417" s="4104"/>
      <c r="N417" s="4105"/>
      <c r="O417" s="4105"/>
      <c r="P417" s="4105"/>
      <c r="Q417" s="4106"/>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3905</v>
      </c>
      <c r="C421" s="4103"/>
      <c r="D421" s="4103"/>
      <c r="E421" s="4103"/>
      <c r="F421" s="4103"/>
      <c r="G421" s="4103"/>
      <c r="H421" s="4103"/>
      <c r="I421" s="4103"/>
      <c r="J421" s="4103"/>
      <c r="K421" s="4103"/>
      <c r="L421" s="4103"/>
      <c r="M421" s="4103"/>
      <c r="N421" s="4103"/>
    </row>
    <row r="422" spans="1:31" s="115" customFormat="1" ht="45" customHeight="1">
      <c r="B422" s="4103" t="s">
        <v>4438</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3155</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09"/>
      <c r="Q428" s="4110"/>
    </row>
    <row r="429" spans="1:31" ht="14.1" customHeight="1">
      <c r="B429" s="66" t="s">
        <v>3773</v>
      </c>
      <c r="C429" s="4"/>
      <c r="D429" s="66"/>
      <c r="E429" s="874"/>
      <c r="F429" s="874"/>
      <c r="G429" s="874"/>
      <c r="H429" s="874"/>
    </row>
    <row r="430" spans="1:31" s="102" customFormat="1" ht="21.75" customHeight="1">
      <c r="A430" s="110" t="s">
        <v>1836</v>
      </c>
      <c r="B430" s="4103" t="s">
        <v>3226</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3225</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3743</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3745</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3746</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3227</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3793</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3794</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3827</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3193</v>
      </c>
      <c r="P463" s="1786"/>
      <c r="R463" s="44"/>
    </row>
    <row r="464" spans="1:18" s="794" customFormat="1" ht="11.25">
      <c r="A464" s="44"/>
      <c r="B464" s="44"/>
      <c r="C464" s="1787" t="s">
        <v>1972</v>
      </c>
      <c r="J464" s="1785" t="s">
        <v>1601</v>
      </c>
      <c r="N464" s="795"/>
      <c r="O464" s="794" t="s">
        <v>3194</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3164</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3176</v>
      </c>
      <c r="R518" s="44"/>
    </row>
    <row r="519" spans="1:18" s="794" customFormat="1" ht="11.25">
      <c r="A519" s="44"/>
      <c r="B519" s="44"/>
      <c r="M519" s="794" t="s">
        <v>3248</v>
      </c>
      <c r="R519" s="44"/>
    </row>
    <row r="520" spans="1:18" s="794" customFormat="1" ht="11.25">
      <c r="A520" s="44"/>
      <c r="B520" s="44"/>
      <c r="M520" s="794" t="s">
        <v>3243</v>
      </c>
      <c r="R520" s="44"/>
    </row>
    <row r="521" spans="1:18" s="794" customFormat="1" ht="11.25">
      <c r="A521" s="44"/>
      <c r="B521" s="44"/>
      <c r="M521" s="794" t="s">
        <v>3169</v>
      </c>
      <c r="R521" s="44"/>
    </row>
    <row r="522" spans="1:18" s="794" customFormat="1" ht="11.25">
      <c r="A522" s="44"/>
      <c r="B522" s="44"/>
      <c r="M522" s="794" t="s">
        <v>3239</v>
      </c>
      <c r="R522" s="44"/>
    </row>
    <row r="523" spans="1:18" s="794" customFormat="1" ht="11.2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4419</v>
      </c>
      <c r="B2" s="4307"/>
      <c r="C2" s="147"/>
      <c r="D2" s="782">
        <v>2021</v>
      </c>
      <c r="E2" s="144"/>
      <c r="F2" s="4301" t="s">
        <v>2927</v>
      </c>
      <c r="G2" s="4302"/>
      <c r="H2" s="4302"/>
      <c r="I2" s="4302"/>
      <c r="J2" s="4303"/>
      <c r="K2" s="234"/>
      <c r="L2" s="442" t="s">
        <v>3057</v>
      </c>
      <c r="M2" s="234"/>
      <c r="N2" s="4301" t="s">
        <v>2927</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7"/>
      <c r="B4" s="430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2458</v>
      </c>
      <c r="H45" s="4331"/>
      <c r="I45" s="66"/>
      <c r="J45" s="35"/>
      <c r="K45" s="4332" t="s">
        <v>3080</v>
      </c>
      <c r="L45" s="4333"/>
      <c r="M45" s="4333"/>
      <c r="N45" s="4334"/>
    </row>
    <row r="46" spans="1:295" s="28" customFormat="1" ht="11.25" customHeight="1">
      <c r="A46" s="4317"/>
      <c r="B46" s="4317"/>
      <c r="C46" s="4317"/>
      <c r="D46" s="4317"/>
      <c r="E46" s="4317"/>
      <c r="F46" s="1186"/>
      <c r="G46" s="4335" t="s">
        <v>333</v>
      </c>
      <c r="H46" s="4336"/>
      <c r="I46" s="66"/>
      <c r="J46" s="35"/>
      <c r="K46" s="4310" t="s">
        <v>3081</v>
      </c>
      <c r="L46" s="4311"/>
      <c r="M46" s="4311"/>
      <c r="N46" s="4312"/>
      <c r="P46" s="404" t="s">
        <v>2467</v>
      </c>
      <c r="Q46" s="74"/>
    </row>
    <row r="47" spans="1:295" s="28" customFormat="1" ht="4.5" customHeight="1">
      <c r="A47" s="1186"/>
      <c r="B47" s="1186"/>
      <c r="C47" s="1186"/>
      <c r="D47" s="1186"/>
      <c r="E47" s="1186"/>
      <c r="F47" s="1186"/>
      <c r="G47" s="66"/>
      <c r="H47" s="66"/>
      <c r="I47" s="66"/>
      <c r="J47" s="35"/>
      <c r="K47" s="4168"/>
      <c r="L47" s="4168"/>
      <c r="M47" s="4168"/>
      <c r="N47" s="4168"/>
      <c r="P47" s="4315" t="s">
        <v>3811</v>
      </c>
      <c r="Q47" s="4315"/>
    </row>
    <row r="48" spans="1:295" s="62" customFormat="1" ht="10.5" customHeight="1">
      <c r="D48" s="490" t="s">
        <v>2457</v>
      </c>
      <c r="E48" s="28"/>
      <c r="F48" s="491" t="s">
        <v>2983</v>
      </c>
      <c r="G48" s="4305" t="s">
        <v>3769</v>
      </c>
      <c r="H48" s="4305"/>
      <c r="I48" s="4305"/>
      <c r="J48" s="28"/>
      <c r="K48" s="491" t="s">
        <v>2983</v>
      </c>
      <c r="L48" s="4305" t="s">
        <v>3768</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2926</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3812</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4" t="s">
        <v>3803</v>
      </c>
      <c r="Q54" s="4274"/>
      <c r="R54" s="4304" t="s">
        <v>4197</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2921</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3276</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3806</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3076</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3077</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2484</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3360</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8" t="s">
        <v>4540</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4553</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481" t="s">
        <v>4393</v>
      </c>
      <c r="G12" s="4481"/>
      <c r="H12" s="4481"/>
      <c r="I12" s="4481"/>
      <c r="J12" s="4481"/>
      <c r="K12" s="4481"/>
      <c r="L12" s="4481"/>
      <c r="M12" s="4481"/>
      <c r="N12" s="4481"/>
      <c r="O12" s="1142" t="s">
        <v>3686</v>
      </c>
      <c r="P12" s="1143">
        <f>SUM(P13:P31)</f>
        <v>0</v>
      </c>
      <c r="Q12" s="4337" t="s">
        <v>4440</v>
      </c>
      <c r="R12" s="4337"/>
      <c r="S12" s="4337"/>
      <c r="T12" s="4337"/>
      <c r="U12" s="4337"/>
      <c r="V12" s="1120"/>
    </row>
    <row r="13" spans="1:25" s="35" customFormat="1" ht="10.5" customHeight="1">
      <c r="A13" s="911" t="s">
        <v>1663</v>
      </c>
      <c r="B13" s="908" t="s">
        <v>3305</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3909</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3250</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3306</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3307</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3910</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3912</v>
      </c>
      <c r="B19" s="738" t="s">
        <v>3177</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3923</v>
      </c>
      <c r="B20" s="738" t="s">
        <v>3913</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4140</v>
      </c>
      <c r="B21" s="918" t="s">
        <v>3914</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4532</v>
      </c>
      <c r="B22" s="738" t="s">
        <v>4444</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4534</v>
      </c>
      <c r="B23" s="738" t="s">
        <v>4533</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3280</v>
      </c>
      <c r="B24" s="1797" t="s">
        <v>4450</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3284</v>
      </c>
      <c r="B25" s="738" t="s">
        <v>3308</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3287</v>
      </c>
      <c r="B26" s="738" t="s">
        <v>3309</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3288</v>
      </c>
      <c r="B27" s="738" t="s">
        <v>3310</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3679</v>
      </c>
      <c r="B30" s="738" t="s">
        <v>4448</v>
      </c>
      <c r="C30" s="853"/>
      <c r="D30" s="912"/>
      <c r="E30" s="1137">
        <f>$O$428</f>
        <v>0</v>
      </c>
      <c r="F30" s="4357">
        <f>$A$430</f>
        <v>0</v>
      </c>
      <c r="G30" s="4358"/>
      <c r="H30" s="4358"/>
      <c r="I30" s="4358"/>
      <c r="J30" s="4358"/>
      <c r="K30" s="4358"/>
      <c r="L30" s="4358"/>
      <c r="M30" s="4358"/>
      <c r="N30" s="4358"/>
      <c r="O30" s="4359"/>
      <c r="P30" s="1150"/>
      <c r="Q30" s="1874"/>
      <c r="R30" s="1540"/>
      <c r="S30" s="1540"/>
      <c r="AA30" s="3524" t="s">
        <v>4458</v>
      </c>
      <c r="AB30" s="3524"/>
      <c r="AC30" s="3524"/>
      <c r="AD30" s="3524"/>
      <c r="AE30" s="3524"/>
      <c r="AF30" s="3524"/>
    </row>
    <row r="31" spans="1:35" s="35" customFormat="1" ht="10.5" customHeight="1">
      <c r="A31" s="913" t="s">
        <v>4451</v>
      </c>
      <c r="B31" s="914" t="s">
        <v>4449</v>
      </c>
      <c r="C31" s="915"/>
      <c r="D31" s="916"/>
      <c r="E31" s="1536">
        <f>$O$434</f>
        <v>0</v>
      </c>
      <c r="F31" s="4372">
        <f>$A$438</f>
        <v>0</v>
      </c>
      <c r="G31" s="4373"/>
      <c r="H31" s="4373"/>
      <c r="I31" s="4373"/>
      <c r="J31" s="4373"/>
      <c r="K31" s="4373"/>
      <c r="L31" s="4373"/>
      <c r="M31" s="4373"/>
      <c r="N31" s="4373"/>
      <c r="O31" s="4374"/>
      <c r="P31" s="1151"/>
      <c r="Q31" s="1874"/>
      <c r="R31" s="1540"/>
      <c r="S31" s="1540"/>
      <c r="X31" s="3524" t="s">
        <v>4459</v>
      </c>
      <c r="Y31" s="3524"/>
      <c r="Z31" s="3524"/>
      <c r="AA31" s="3524"/>
      <c r="AB31" s="3524"/>
      <c r="AC31" s="3524"/>
      <c r="AD31" s="3524" t="s">
        <v>4460</v>
      </c>
      <c r="AE31" s="3524"/>
      <c r="AF31" s="3524"/>
      <c r="AG31" s="3524"/>
      <c r="AH31" s="3524"/>
      <c r="AI31" s="3524"/>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424" t="s">
        <v>4026</v>
      </c>
      <c r="H33" s="4424"/>
      <c r="I33" s="4418" t="s">
        <v>4403</v>
      </c>
      <c r="J33" s="4419"/>
      <c r="K33" s="4419"/>
      <c r="L33" s="4420"/>
      <c r="M33" s="4485" t="s">
        <v>4039</v>
      </c>
      <c r="N33" s="4485"/>
      <c r="O33" s="4485"/>
      <c r="P33" s="4485"/>
      <c r="Q33" s="435"/>
      <c r="R33" s="435"/>
      <c r="S33" s="83" t="s">
        <v>4038</v>
      </c>
      <c r="T33" s="435"/>
      <c r="U33" s="435"/>
      <c r="V33" s="435"/>
      <c r="X33" s="4404" t="s">
        <v>4026</v>
      </c>
      <c r="Y33" s="4406"/>
      <c r="Z33" s="4404" t="s">
        <v>4403</v>
      </c>
      <c r="AA33" s="4405"/>
      <c r="AB33" s="4405"/>
      <c r="AC33" s="4406"/>
      <c r="AD33" s="4413" t="s">
        <v>4026</v>
      </c>
      <c r="AE33" s="4414"/>
      <c r="AF33" s="4415" t="s">
        <v>4403</v>
      </c>
      <c r="AG33" s="4413"/>
      <c r="AH33" s="4413"/>
      <c r="AI33" s="4414"/>
    </row>
    <row r="34" spans="1:46" s="115" customFormat="1" ht="11.25" customHeight="1">
      <c r="A34" s="44"/>
      <c r="B34" s="29"/>
      <c r="C34" s="44"/>
      <c r="D34" s="44"/>
      <c r="E34" s="44"/>
      <c r="F34" s="44"/>
      <c r="G34" s="1635">
        <v>0.09</v>
      </c>
      <c r="H34" s="1635">
        <v>0.04</v>
      </c>
      <c r="I34" s="1635">
        <v>0.04</v>
      </c>
      <c r="J34" s="1635" t="s">
        <v>4441</v>
      </c>
      <c r="K34" s="1635" t="s">
        <v>4442</v>
      </c>
      <c r="L34" s="1635" t="s">
        <v>4443</v>
      </c>
      <c r="M34" s="4407" t="e">
        <f>#REF!</f>
        <v>#REF!</v>
      </c>
      <c r="N34" s="4408"/>
      <c r="O34" s="4408"/>
      <c r="P34" s="4409"/>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486" t="s">
        <v>4457</v>
      </c>
      <c r="N40" s="4487"/>
      <c r="O40" s="4487"/>
      <c r="P40" s="448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486"/>
      <c r="N41" s="4487"/>
      <c r="O41" s="4487"/>
      <c r="P41" s="448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620" t="s">
        <v>4630</v>
      </c>
      <c r="N52" s="4621"/>
      <c r="O52" s="4621"/>
      <c r="P52" s="462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620"/>
      <c r="N53" s="4621"/>
      <c r="O53" s="4621"/>
      <c r="P53" s="462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622"/>
      <c r="N54" s="4623"/>
      <c r="O54" s="4623"/>
      <c r="P54" s="462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488" t="s">
        <v>4606</v>
      </c>
      <c r="N55" s="4489"/>
      <c r="O55" s="4489"/>
      <c r="P55" s="4490"/>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491"/>
      <c r="N56" s="4492"/>
      <c r="O56" s="4492"/>
      <c r="P56" s="4493"/>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486" t="s">
        <v>4041</v>
      </c>
      <c r="N58" s="4487"/>
      <c r="O58" s="4487"/>
      <c r="P58" s="448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618"/>
      <c r="N59" s="4619"/>
      <c r="O59" s="4619"/>
      <c r="P59" s="461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349" t="s">
        <v>4607</v>
      </c>
      <c r="N60" s="4350"/>
      <c r="O60" s="4350"/>
      <c r="P60" s="4351"/>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352"/>
      <c r="N61" s="4353"/>
      <c r="O61" s="4353"/>
      <c r="P61" s="4354"/>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401" t="s">
        <v>3771</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15" t="s">
        <v>3974</v>
      </c>
      <c r="B74" s="4315"/>
      <c r="C74" s="4315"/>
      <c r="D74" s="4315"/>
      <c r="E74" s="4315"/>
      <c r="F74" s="1117" t="s">
        <v>3302</v>
      </c>
      <c r="G74" s="4473" t="s">
        <v>3976</v>
      </c>
      <c r="H74" s="4473"/>
      <c r="I74" s="4473"/>
      <c r="J74" s="1117" t="s">
        <v>3302</v>
      </c>
      <c r="K74" s="4477" t="s">
        <v>3975</v>
      </c>
      <c r="L74" s="4477"/>
      <c r="M74" s="4477"/>
      <c r="N74" s="4477"/>
      <c r="O74" s="4471" t="s">
        <v>3302</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2569</v>
      </c>
      <c r="K78" s="4394">
        <v>3</v>
      </c>
      <c r="L78" s="4395"/>
      <c r="M78" s="4395"/>
      <c r="N78" s="4395"/>
      <c r="O78" s="4581" t="s">
        <v>2569</v>
      </c>
      <c r="P78" s="4582"/>
      <c r="Q78" s="4624" t="s">
        <v>3685</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2569</v>
      </c>
      <c r="P79" s="4582"/>
      <c r="Q79" s="4624"/>
      <c r="R79" s="4625"/>
      <c r="S79" s="1120"/>
      <c r="T79" s="1120"/>
    </row>
    <row r="80" spans="1:20" s="35" customFormat="1" ht="24.75" customHeight="1">
      <c r="A80" s="4360">
        <v>5</v>
      </c>
      <c r="B80" s="4361"/>
      <c r="C80" s="4361"/>
      <c r="D80" s="4361"/>
      <c r="E80" s="4362"/>
      <c r="F80" s="668"/>
      <c r="G80" s="4360">
        <v>5</v>
      </c>
      <c r="H80" s="4361"/>
      <c r="I80" s="4362"/>
      <c r="J80" s="921" t="s">
        <v>3060</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3061</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3062</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3063</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615" t="s">
        <v>3688</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564"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564"/>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365" t="s">
        <v>3692</v>
      </c>
      <c r="I97" s="4366"/>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385" t="s">
        <v>3915</v>
      </c>
      <c r="J106" s="4386"/>
      <c r="K106" s="4386"/>
      <c r="L106" s="438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388"/>
      <c r="J107" s="4389"/>
      <c r="K107" s="4389"/>
      <c r="L107" s="4390"/>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447" t="s">
        <v>3131</v>
      </c>
      <c r="G123" s="4447"/>
      <c r="H123" s="4447"/>
      <c r="I123" s="4447"/>
      <c r="J123" s="4447" t="s">
        <v>3132</v>
      </c>
      <c r="K123" s="4447"/>
      <c r="L123" s="4447"/>
      <c r="M123" s="4447"/>
      <c r="N123" s="48"/>
      <c r="O123" s="4448" t="s">
        <v>3761</v>
      </c>
      <c r="P123" s="4449"/>
      <c r="Q123" s="86"/>
      <c r="R123" s="866"/>
      <c r="S123" s="866"/>
      <c r="T123" s="866"/>
      <c r="U123" s="866"/>
    </row>
    <row r="124" spans="1:21" s="36" customFormat="1" ht="12" customHeight="1">
      <c r="B124" s="1749"/>
      <c r="C124" s="1123" t="s">
        <v>4466</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4048</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4574</v>
      </c>
      <c r="B126" s="4578"/>
      <c r="C126" s="1123" t="s">
        <v>4465</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3277</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446" t="s">
        <v>4572</v>
      </c>
      <c r="D133" s="4446"/>
      <c r="E133" s="4446"/>
      <c r="F133" s="4446"/>
      <c r="G133" s="4446"/>
      <c r="H133" s="4446"/>
      <c r="I133" s="4446"/>
      <c r="J133" s="4446"/>
      <c r="K133" s="4446"/>
      <c r="L133" s="4446"/>
      <c r="M133" s="1758">
        <v>6</v>
      </c>
      <c r="N133" s="373" t="s">
        <v>1839</v>
      </c>
      <c r="O133" s="1820"/>
      <c r="P133" s="1821"/>
      <c r="Q133" s="1153"/>
      <c r="R133" s="782" t="s">
        <v>3928</v>
      </c>
    </row>
    <row r="134" spans="1:21" s="331" customFormat="1" ht="12" customHeight="1">
      <c r="A134" s="455" t="s">
        <v>1273</v>
      </c>
      <c r="B134" s="349" t="s">
        <v>1841</v>
      </c>
      <c r="C134" s="3517" t="s">
        <v>4573</v>
      </c>
      <c r="D134" s="3517"/>
      <c r="E134" s="3517"/>
      <c r="F134" s="3517"/>
      <c r="G134" s="853"/>
      <c r="J134" s="4450" t="s">
        <v>4569</v>
      </c>
      <c r="K134" s="4451"/>
      <c r="L134" s="4452"/>
      <c r="M134" s="457">
        <v>5</v>
      </c>
      <c r="N134" s="347" t="s">
        <v>1841</v>
      </c>
      <c r="O134" s="1833"/>
      <c r="P134" s="1834"/>
      <c r="Q134" s="1720" t="s">
        <v>4565</v>
      </c>
      <c r="R134" s="1117" t="s">
        <v>4161</v>
      </c>
      <c r="S134" s="1117" t="s">
        <v>4046</v>
      </c>
    </row>
    <row r="135" spans="1:21" s="331" customFormat="1" ht="12" customHeight="1">
      <c r="B135" s="349"/>
      <c r="C135" s="3517"/>
      <c r="D135" s="3517"/>
      <c r="E135" s="3517"/>
      <c r="F135" s="3517"/>
      <c r="G135" s="853"/>
      <c r="H135" s="3353" t="s">
        <v>4567</v>
      </c>
      <c r="I135" s="3353"/>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7"/>
      <c r="D136" s="3517"/>
      <c r="E136" s="3517"/>
      <c r="F136" s="3517"/>
      <c r="G136" s="853"/>
      <c r="H136" s="1679"/>
      <c r="I136" s="1814"/>
      <c r="J136" s="4453"/>
      <c r="K136" s="4454"/>
      <c r="L136" s="4455"/>
      <c r="Q136" s="785"/>
      <c r="R136" s="1464">
        <v>0.5</v>
      </c>
      <c r="S136" s="1464">
        <v>4.5</v>
      </c>
    </row>
    <row r="137" spans="1:21" s="331" customFormat="1" ht="12" customHeight="1">
      <c r="B137" s="349"/>
      <c r="C137" s="3517"/>
      <c r="D137" s="3517"/>
      <c r="E137" s="3517"/>
      <c r="F137" s="3517"/>
      <c r="G137" s="853"/>
      <c r="J137" s="4453"/>
      <c r="K137" s="4454"/>
      <c r="L137" s="4455"/>
      <c r="M137" s="70"/>
      <c r="N137" s="70"/>
      <c r="O137" s="70"/>
      <c r="P137" s="70"/>
      <c r="Q137" s="396"/>
      <c r="R137" s="1465">
        <v>1</v>
      </c>
      <c r="S137" s="1465">
        <v>4</v>
      </c>
    </row>
    <row r="138" spans="1:21" s="331" customFormat="1" ht="12" customHeight="1">
      <c r="A138" s="112" t="s">
        <v>1838</v>
      </c>
      <c r="B138" s="884" t="s">
        <v>3154</v>
      </c>
      <c r="C138" s="502"/>
      <c r="D138" s="502"/>
      <c r="F138" s="1812" t="s">
        <v>4564</v>
      </c>
      <c r="J138" s="4375" t="s">
        <v>3151</v>
      </c>
      <c r="K138" s="4376"/>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517" t="s">
        <v>4579</v>
      </c>
      <c r="D139" s="3517"/>
      <c r="E139" s="3517"/>
      <c r="F139" s="3517"/>
      <c r="G139" s="853"/>
      <c r="H139" s="3353" t="s">
        <v>4568</v>
      </c>
      <c r="I139" s="3353"/>
      <c r="J139" s="4377" t="s">
        <v>4584</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7"/>
      <c r="D140" s="3517"/>
      <c r="E140" s="3517"/>
      <c r="F140" s="3517"/>
      <c r="G140" s="70"/>
      <c r="H140" s="1679"/>
      <c r="I140" s="1814"/>
      <c r="J140" s="4600" t="s">
        <v>4461</v>
      </c>
      <c r="K140" s="4601"/>
      <c r="L140" s="4602"/>
      <c r="M140" s="70"/>
      <c r="O140" s="4614"/>
      <c r="P140" s="4617"/>
      <c r="Q140" s="86"/>
      <c r="R140" s="1465">
        <v>1</v>
      </c>
      <c r="S140" s="1465">
        <v>1</v>
      </c>
      <c r="U140" s="331"/>
    </row>
    <row r="141" spans="1:21" s="36" customFormat="1" ht="11.25" customHeight="1">
      <c r="A141" s="455" t="s">
        <v>1273</v>
      </c>
      <c r="B141" s="1544" t="s">
        <v>1841</v>
      </c>
      <c r="C141" s="3517" t="s">
        <v>4571</v>
      </c>
      <c r="D141" s="3517"/>
      <c r="E141" s="3517"/>
      <c r="F141" s="3517"/>
      <c r="G141" s="3517"/>
      <c r="H141" s="3517"/>
      <c r="I141" s="1813"/>
      <c r="J141" s="4603"/>
      <c r="K141" s="4604"/>
      <c r="L141" s="4605"/>
      <c r="M141" s="457">
        <v>1</v>
      </c>
      <c r="N141" s="347" t="s">
        <v>1841</v>
      </c>
      <c r="O141" s="4400"/>
      <c r="P141" s="4577"/>
      <c r="U141" s="331"/>
    </row>
    <row r="142" spans="1:21" s="36" customFormat="1" ht="11.25" customHeight="1">
      <c r="B142" s="1816"/>
      <c r="C142" s="3517"/>
      <c r="D142" s="3517"/>
      <c r="E142" s="3517"/>
      <c r="F142" s="3517"/>
      <c r="G142" s="3517"/>
      <c r="H142" s="3517"/>
      <c r="I142" s="1813"/>
      <c r="J142" s="4606"/>
      <c r="K142" s="4607"/>
      <c r="L142" s="4608"/>
      <c r="O142" s="4400"/>
      <c r="P142" s="4577"/>
      <c r="T142" s="331"/>
      <c r="U142" s="331"/>
    </row>
    <row r="143" spans="1:21" s="331" customFormat="1" ht="12" customHeight="1">
      <c r="A143" s="1543" t="s">
        <v>1273</v>
      </c>
      <c r="B143" s="1544" t="s">
        <v>2326</v>
      </c>
      <c r="C143" s="3517" t="s">
        <v>4570</v>
      </c>
      <c r="D143" s="3517"/>
      <c r="E143" s="3517"/>
      <c r="F143" s="3517"/>
      <c r="G143" s="3517"/>
      <c r="H143" s="3517"/>
      <c r="I143" s="4612"/>
      <c r="J143" s="4600" t="s">
        <v>4462</v>
      </c>
      <c r="K143" s="4601"/>
      <c r="L143" s="4602"/>
      <c r="M143" s="1758">
        <v>2</v>
      </c>
      <c r="N143" s="373" t="s">
        <v>2326</v>
      </c>
      <c r="O143" s="4575"/>
      <c r="P143" s="4396"/>
      <c r="Q143" s="785"/>
      <c r="R143" s="782"/>
    </row>
    <row r="144" spans="1:21" s="36" customFormat="1" ht="36.75" customHeight="1">
      <c r="C144" s="3517"/>
      <c r="D144" s="3517"/>
      <c r="E144" s="3517"/>
      <c r="F144" s="3517"/>
      <c r="G144" s="3517"/>
      <c r="H144" s="3517"/>
      <c r="I144" s="4612"/>
      <c r="J144" s="4609"/>
      <c r="K144" s="4610"/>
      <c r="L144" s="4611"/>
      <c r="O144" s="4576"/>
      <c r="P144" s="4397"/>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597" t="s">
        <v>4722</v>
      </c>
      <c r="K154" s="4598"/>
      <c r="L154" s="4598"/>
      <c r="M154" s="4599"/>
      <c r="N154"/>
      <c r="O154"/>
      <c r="P154"/>
    </row>
    <row r="155" spans="1:19" ht="12.75" customHeight="1">
      <c r="B155" s="429"/>
      <c r="C155" s="429"/>
      <c r="D155" s="429"/>
      <c r="F155" s="4111" t="s">
        <v>4523</v>
      </c>
      <c r="G155" s="4111"/>
      <c r="H155" s="4111" t="s">
        <v>4167</v>
      </c>
      <c r="I155" s="4111"/>
      <c r="J155" s="4585" t="s">
        <v>4524</v>
      </c>
      <c r="K155" s="4586"/>
      <c r="L155" s="4588" t="s">
        <v>4721</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4525</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3" t="s">
        <v>4575</v>
      </c>
      <c r="D173" s="4103"/>
      <c r="E173" s="4103"/>
      <c r="F173" s="4103"/>
      <c r="G173" s="4103"/>
      <c r="H173" s="4103"/>
      <c r="I173" s="4103"/>
      <c r="J173" s="4103"/>
      <c r="K173" s="4103"/>
      <c r="L173" s="128"/>
      <c r="M173" s="4569" t="s">
        <v>3992</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3202</v>
      </c>
      <c r="N174" s="4562"/>
      <c r="O174" s="4562"/>
      <c r="P174" s="4563"/>
      <c r="S174" s="1540"/>
      <c r="T174" s="1540"/>
      <c r="U174" s="1540"/>
    </row>
    <row r="175" spans="1:26" s="26" customFormat="1" ht="12.75" customHeight="1">
      <c r="B175" s="49" t="s">
        <v>2235</v>
      </c>
      <c r="C175" s="29" t="s">
        <v>3832</v>
      </c>
      <c r="D175" s="29"/>
      <c r="E175" s="29"/>
      <c r="F175" s="29"/>
      <c r="G175" s="29"/>
      <c r="H175" s="29"/>
      <c r="L175" s="49" t="s">
        <v>2235</v>
      </c>
      <c r="M175" s="4377" t="s">
        <v>3202</v>
      </c>
      <c r="N175" s="4378"/>
      <c r="O175" s="4378"/>
      <c r="P175" s="4379"/>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377" t="s">
        <v>3202</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516" t="s">
        <v>3202</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3" t="s">
        <v>4076</v>
      </c>
      <c r="D180" s="4103"/>
      <c r="E180" s="4103"/>
      <c r="F180" s="4103"/>
      <c r="G180" s="4103"/>
      <c r="H180" s="4103"/>
      <c r="I180" s="4103"/>
      <c r="J180" s="4103"/>
      <c r="K180" s="4103"/>
      <c r="L180" s="4103"/>
      <c r="M180" s="1758">
        <v>1</v>
      </c>
      <c r="N180" s="128" t="s">
        <v>3946</v>
      </c>
      <c r="O180" s="1548"/>
      <c r="P180" s="1552"/>
      <c r="Q180" s="1153" t="str">
        <f>IF(OR($O180=$M180,$O180=0,$O180=""),"","*CHECK!*")</f>
        <v/>
      </c>
      <c r="R180" s="782" t="s">
        <v>3928</v>
      </c>
    </row>
    <row r="181" spans="1:26" ht="36.75" customHeight="1">
      <c r="A181" s="395"/>
      <c r="B181" s="117" t="s">
        <v>2235</v>
      </c>
      <c r="C181" s="4103" t="s">
        <v>4077</v>
      </c>
      <c r="D181" s="4103"/>
      <c r="E181" s="4103"/>
      <c r="F181" s="4103"/>
      <c r="G181" s="4103"/>
      <c r="H181" s="4103"/>
      <c r="I181" s="4103"/>
      <c r="J181" s="4103"/>
      <c r="K181" s="4103"/>
      <c r="L181" s="4103"/>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3" t="s">
        <v>4105</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4109</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3" t="s">
        <v>4110</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4151</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540" t="s">
        <v>3120</v>
      </c>
      <c r="K208" s="4541"/>
      <c r="L208" s="4542"/>
      <c r="M208" s="4543"/>
      <c r="N208" s="53"/>
      <c r="R208" s="86"/>
      <c r="S208" s="70"/>
    </row>
    <row r="209" spans="1:27" ht="12.75" customHeight="1">
      <c r="C209" s="673" t="s">
        <v>4153</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345" t="s">
        <v>4116</v>
      </c>
      <c r="F212" s="4345"/>
      <c r="G212" s="4345"/>
      <c r="H212" s="4345"/>
      <c r="I212" s="1144" t="s">
        <v>4143</v>
      </c>
      <c r="J212" s="4345" t="s">
        <v>4116</v>
      </c>
      <c r="K212" s="4345"/>
      <c r="L212" s="4345"/>
      <c r="M212" s="4345"/>
      <c r="N212"/>
      <c r="O212"/>
      <c r="P212"/>
    </row>
    <row r="213" spans="1:27" ht="13.5" customHeight="1">
      <c r="B213" s="399"/>
      <c r="C213" s="29" t="s">
        <v>4114</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4115</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4112</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4113</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5" t="e">
        <f>#REF!</f>
        <v>#REF!</v>
      </c>
      <c r="L226" s="4506"/>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9"/>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370"/>
      <c r="J244" s="4370"/>
      <c r="L244" s="1574" t="s">
        <v>4157</v>
      </c>
      <c r="M244" s="4371"/>
      <c r="N244" s="4371"/>
    </row>
    <row r="245" spans="1:27" s="32" customFormat="1" ht="11.25" customHeight="1">
      <c r="A245" s="306"/>
      <c r="B245" s="349" t="s">
        <v>1841</v>
      </c>
      <c r="C245" s="29" t="s">
        <v>4156</v>
      </c>
      <c r="E245" s="33" t="s">
        <v>3224</v>
      </c>
      <c r="G245" s="1556"/>
      <c r="H245" s="48" t="s">
        <v>573</v>
      </c>
      <c r="I245" s="4500"/>
      <c r="J245" s="4500"/>
      <c r="L245" s="1574" t="s">
        <v>4157</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4511</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4512</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4128</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4586</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4588</v>
      </c>
      <c r="G289" s="147"/>
      <c r="I289" s="4555" t="s">
        <v>4589</v>
      </c>
      <c r="J289" s="4556"/>
      <c r="K289" s="4557"/>
      <c r="L289" s="4558"/>
      <c r="M289" s="455"/>
      <c r="O289" s="4559" t="s">
        <v>3065</v>
      </c>
      <c r="P289" s="4559" t="s">
        <v>3066</v>
      </c>
      <c r="Q289" s="86"/>
      <c r="R289" s="1542"/>
      <c r="S289" s="1542"/>
      <c r="T289" s="1542"/>
      <c r="U289" s="1542"/>
      <c r="V289" s="1542"/>
      <c r="W289" s="36"/>
      <c r="X289" s="36"/>
    </row>
    <row r="290" spans="1:24" s="36" customFormat="1" ht="11.25" customHeight="1">
      <c r="A290" s="120"/>
      <c r="B290" s="29" t="s">
        <v>4477</v>
      </c>
      <c r="D290" s="34"/>
      <c r="H290" s="141"/>
      <c r="M290" s="119"/>
      <c r="N290" s="48"/>
      <c r="O290" s="4560"/>
      <c r="P290" s="4560"/>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3" t="s">
        <v>4483</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4484</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3" t="s">
        <v>4486</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4487</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4490</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367"/>
      <c r="J311" s="4368"/>
      <c r="K311" s="4368"/>
      <c r="L311" s="436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3190</v>
      </c>
      <c r="L345" s="4498"/>
      <c r="M345" s="4498"/>
      <c r="N345" s="49" t="s">
        <v>2235</v>
      </c>
      <c r="O345" s="299"/>
      <c r="P345" s="419"/>
      <c r="R345" s="4494"/>
      <c r="S345" s="4494"/>
    </row>
    <row r="346" spans="1:20" s="79" customFormat="1" ht="12.75" customHeight="1">
      <c r="B346" s="49" t="s">
        <v>2236</v>
      </c>
      <c r="C346" s="29" t="s">
        <v>3189</v>
      </c>
      <c r="L346" s="4498"/>
      <c r="M346" s="4498"/>
      <c r="N346" s="49" t="s">
        <v>2236</v>
      </c>
      <c r="O346" s="299"/>
      <c r="P346" s="419"/>
      <c r="R346" s="4494"/>
      <c r="S346" s="4494"/>
    </row>
    <row r="347" spans="1:20" s="79" customFormat="1" ht="33.75" customHeight="1">
      <c r="B347" s="117" t="s">
        <v>2237</v>
      </c>
      <c r="C347" s="4103" t="s">
        <v>4492</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4494</v>
      </c>
      <c r="C352" s="29" t="s">
        <v>1386</v>
      </c>
      <c r="I352" s="49" t="s">
        <v>2234</v>
      </c>
      <c r="J352" s="4433"/>
      <c r="K352" s="4434"/>
      <c r="L352" s="49" t="s">
        <v>2234</v>
      </c>
      <c r="M352" s="4537"/>
      <c r="N352" s="4538"/>
      <c r="O352" s="4538"/>
      <c r="P352" s="4539"/>
      <c r="R352" s="307"/>
    </row>
    <row r="353" spans="1:18" ht="12.75" customHeight="1">
      <c r="A353" s="152"/>
      <c r="B353" s="117" t="s">
        <v>2235</v>
      </c>
      <c r="C353" s="29" t="s">
        <v>3071</v>
      </c>
      <c r="I353" s="117" t="s">
        <v>2235</v>
      </c>
      <c r="J353" s="4438"/>
      <c r="K353" s="4439"/>
      <c r="L353" s="117" t="s">
        <v>2235</v>
      </c>
      <c r="M353" s="4440"/>
      <c r="N353" s="4441"/>
      <c r="O353" s="4441"/>
      <c r="P353" s="4442"/>
      <c r="R353" s="307"/>
    </row>
    <row r="354" spans="1:18" ht="12.75" customHeight="1">
      <c r="B354" s="49" t="s">
        <v>2236</v>
      </c>
      <c r="C354" s="29" t="s">
        <v>3829</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4130</v>
      </c>
      <c r="I358" s="49" t="s">
        <v>2255</v>
      </c>
      <c r="J358" s="4438"/>
      <c r="K358" s="4439"/>
      <c r="L358" s="49" t="s">
        <v>2255</v>
      </c>
      <c r="M358" s="1513"/>
      <c r="N358" s="1514"/>
      <c r="O358" s="1514"/>
      <c r="P358" s="1515"/>
      <c r="R358" s="307"/>
    </row>
    <row r="359" spans="1:18" ht="12.75" customHeight="1">
      <c r="A359" s="152"/>
      <c r="B359" s="48" t="s">
        <v>2256</v>
      </c>
      <c r="C359" s="29" t="s">
        <v>3070</v>
      </c>
      <c r="I359" s="48" t="s">
        <v>2256</v>
      </c>
      <c r="J359" s="4438"/>
      <c r="K359" s="4439"/>
      <c r="L359" s="48" t="s">
        <v>2256</v>
      </c>
      <c r="M359" s="4440"/>
      <c r="N359" s="4441"/>
      <c r="O359" s="4441"/>
      <c r="P359" s="4442"/>
      <c r="R359" s="307"/>
    </row>
    <row r="360" spans="1:18" ht="12.75" customHeight="1">
      <c r="B360" s="48" t="s">
        <v>2257</v>
      </c>
      <c r="C360" s="29" t="s">
        <v>4495</v>
      </c>
      <c r="I360" s="48" t="s">
        <v>2257</v>
      </c>
      <c r="J360" s="4438"/>
      <c r="K360" s="4439"/>
      <c r="L360" s="48" t="s">
        <v>2257</v>
      </c>
      <c r="M360" s="4440"/>
      <c r="N360" s="4441"/>
      <c r="O360" s="4441"/>
      <c r="P360" s="4442"/>
      <c r="R360" s="307"/>
    </row>
    <row r="361" spans="1:18" ht="12.75" customHeight="1">
      <c r="B361" s="48" t="s">
        <v>3072</v>
      </c>
      <c r="C361" s="29" t="s">
        <v>3702</v>
      </c>
      <c r="I361" s="48" t="s">
        <v>3072</v>
      </c>
      <c r="J361" s="4438"/>
      <c r="K361" s="4439"/>
      <c r="L361" s="48" t="s">
        <v>3072</v>
      </c>
      <c r="M361" s="4440"/>
      <c r="N361" s="4441"/>
      <c r="O361" s="4441"/>
      <c r="P361" s="4442"/>
      <c r="R361" s="307"/>
    </row>
    <row r="362" spans="1:18" ht="12.75" customHeight="1" thickBot="1">
      <c r="B362" s="48" t="s">
        <v>4131</v>
      </c>
      <c r="C362" s="29" t="s">
        <v>4132</v>
      </c>
      <c r="I362" s="48" t="s">
        <v>4131</v>
      </c>
      <c r="J362" s="4438"/>
      <c r="K362" s="4439"/>
      <c r="L362" s="48" t="s">
        <v>4131</v>
      </c>
      <c r="M362" s="4528"/>
      <c r="N362" s="4529"/>
      <c r="O362" s="4529"/>
      <c r="P362" s="4530"/>
      <c r="R362" s="307"/>
    </row>
    <row r="363" spans="1:18" ht="12.75" customHeight="1" thickBot="1">
      <c r="B363" s="906" t="s">
        <v>4496</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547" t="e">
        <f>#REF!</f>
        <v>#REF!</v>
      </c>
      <c r="K365" s="4548"/>
      <c r="L365" s="429"/>
      <c r="M365" s="392"/>
      <c r="N365" s="392"/>
      <c r="O365" s="868"/>
      <c r="P365" s="392"/>
    </row>
    <row r="366" spans="1:18" ht="13.5" customHeight="1">
      <c r="C366" s="230"/>
      <c r="D366" s="230"/>
      <c r="E366" s="230"/>
      <c r="F366" s="348" t="s">
        <v>4134</v>
      </c>
      <c r="J366" s="4545" t="e">
        <f>IF(J365=0,0,J363/J365)</f>
        <v>#REF!</v>
      </c>
      <c r="K366" s="4546"/>
      <c r="M366" s="4435" t="e">
        <f>IF($J365=0,0,$M363/$J365)</f>
        <v>#REF!</v>
      </c>
      <c r="N366" s="4436"/>
      <c r="O366" s="4436"/>
      <c r="P366" s="4437"/>
    </row>
    <row r="367" spans="1:18" s="36" customFormat="1" ht="12.75" customHeight="1">
      <c r="C367" s="230"/>
      <c r="D367" s="230"/>
      <c r="E367" s="230"/>
      <c r="F367" s="44" t="s">
        <v>4135</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3" t="s">
        <v>4497</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125" t="s">
        <v>4498</v>
      </c>
      <c r="C383" s="4125"/>
      <c r="D383" s="4125"/>
      <c r="E383" s="4125"/>
      <c r="F383" s="4125"/>
      <c r="G383" s="4125"/>
      <c r="H383" s="4125"/>
      <c r="I383" s="4125"/>
      <c r="J383" s="4125"/>
      <c r="K383" s="4125"/>
      <c r="L383" s="4125"/>
      <c r="M383" s="4527" t="s">
        <v>3763</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2510</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2511</v>
      </c>
      <c r="N386" s="332"/>
      <c r="O386" s="4525" t="e">
        <f>IF(O385=0,0,O384/O385)</f>
        <v>#REF!</v>
      </c>
      <c r="P386" s="4526"/>
      <c r="Q386" s="147"/>
    </row>
    <row r="387" spans="1:19" s="36" customFormat="1" ht="105.75" customHeight="1">
      <c r="A387" s="410"/>
      <c r="B387" s="4154" t="s">
        <v>3326</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4638</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4593</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8" t="s">
        <v>1405</v>
      </c>
      <c r="H466" s="4428"/>
      <c r="I466" s="4428"/>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dataValidation type="list" allowBlank="1" showInputMessage="1" showErrorMessage="1" sqref="P168 P433 P396 P189 P151 P377 P404 P417 P406 P423 P427 P42:P44 P48:P49">
      <formula1>"Yes, No"</formula1>
    </dataValidation>
    <dataValidation type="whole" operator="lessThanOrEqual" allowBlank="1" showInputMessage="1" showErrorMessage="1" sqref="P94">
      <formula1>$M94</formula1>
    </dataValidation>
    <dataValidation type="list" allowBlank="1" showInputMessage="1" showErrorMessage="1" sqref="F76:F87 J77 J79 J81 J83 J85 J87 O77:P77 O80:P87 P69 P13:P32">
      <formula1>"0,1"</formula1>
    </dataValidation>
    <dataValidation type="whole" operator="equal" allowBlank="1" showErrorMessage="1" errorTitle="Incorrect Point Value Entered" error="Please re-check the point value for this criterion." sqref="O94:O95">
      <formula1>$M94</formula1>
    </dataValidation>
    <dataValidation type="decimal" operator="lessThanOrEqual" allowBlank="1" showInputMessage="1" showErrorMessage="1" sqref="O106:P106 O152:P152 O133:P133">
      <formula1>$M106</formula1>
    </dataValidation>
    <dataValidation type="list" allowBlank="1" showInputMessage="1" showErrorMessage="1" sqref="L208">
      <formula1>"Site Census Tract, Other Census Tract"</formula1>
    </dataValidation>
    <dataValidation type="list" allowBlank="1" showInputMessage="1" showErrorMessage="1" sqref="E216 J216">
      <formula1>"Above 60th Percentile/Below 80th Percentile, At or Above 80th Percentile, At or Below 60th Percentile"</formula1>
    </dataValidation>
    <dataValidation type="list" allowBlank="1" showInputMessage="1" showErrorMessage="1" sqref="J213:J215 E213:E215">
      <formula1>"Above 60th Percentile, At or Below 60th Percentile"</formula1>
    </dataValidation>
    <dataValidation type="list" allowBlank="1" showInputMessage="1" showErrorMessage="1" sqref="I214:I216">
      <formula1>"2018,2019,2020"</formula1>
    </dataValidation>
    <dataValidation type="whole" operator="equal" allowBlank="1" showInputMessage="1" showErrorMessage="1" sqref="P143 P141">
      <formula1>$M141</formula1>
    </dataValidation>
    <dataValidation type="list" allowBlank="1" showInputMessage="1" showErrorMessage="1" sqref="P424 O418">
      <formula1>"2, 4, 6"</formula1>
    </dataValidation>
    <dataValidation type="list" allowBlank="1" showInputMessage="1" showErrorMessage="1" sqref="O428:P428">
      <formula1>"2, 3, 4"</formula1>
    </dataValidation>
    <dataValidation type="list" allowBlank="1" showInputMessage="1" showErrorMessage="1" sqref="O435:P435">
      <formula1>"4, 6"</formula1>
    </dataValidation>
    <dataValidation type="list" allowBlank="1" showInputMessage="1" showErrorMessage="1" sqref="O436:P436">
      <formula1>"2, 4"</formula1>
    </dataValidation>
    <dataValidation type="list" allowBlank="1" showInputMessage="1" showErrorMessage="1" sqref="O134:P134">
      <formula1>"4, 4.5, 5"</formula1>
    </dataValidation>
    <dataValidation type="list" allowBlank="1" showInputMessage="1" showErrorMessage="1" sqref="O139:P140">
      <formula1>"1,2,3"</formula1>
    </dataValidation>
    <dataValidation type="list" allowBlank="1" showInputMessage="1" showErrorMessage="1" sqref="O291:P293">
      <formula1>"Yes, No, N/a, TBD"</formula1>
    </dataValidation>
    <dataValidation type="list" allowBlank="1" showInputMessage="1" showErrorMessage="1" sqref="I289:L289">
      <formula1>"Select Certification, GDOAS Minority Business Enterprise Certification, GDOT Disadvantaged Business Enterprise, NMSDC, TBD (only if Option A)"</formula1>
    </dataValidation>
    <dataValidation type="list" allowBlank="1" showInputMessage="1" showErrorMessage="1" sqref="M55:P56">
      <formula1>"&lt;&lt; Select Activity Type &gt;&gt;, New Supply, Preservation"</formula1>
    </dataValidation>
    <dataValidation type="list" allowBlank="1" showInputMessage="1" showErrorMessage="1" sqref="M60:P61">
      <formula1>"&lt;&lt; Select Pool &gt;&gt;, Rural, Other Metro, Atlanta Metro, N/A-4%"</formula1>
    </dataValidation>
    <dataValidation type="list" allowBlank="1" showInputMessage="1" showErrorMessage="1" sqref="J208:K208">
      <formula1>"&lt;&lt; Select &gt;&gt;,Site Census Tract, Other Census Tract"</formula1>
    </dataValidation>
    <dataValidation type="list" allowBlank="1" showInputMessage="1" showErrorMessage="1" sqref="P418">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16"/>
  <sheetViews>
    <sheetView showGridLines="0" topLeftCell="A2" workbookViewId="0">
      <selection activeCell="N20" sqref="N20:P20"/>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46" t="str">
        <f>CONCATENATE("Part I-Project Identification"," - ",$O$7," ",$F$26,", ",$F$27,", ",J27," County")</f>
        <v>Part I-Project Identification - 2024-0 Pateville Estates, Cordele, Crisp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4639</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5130</v>
      </c>
      <c r="B6" s="2950"/>
      <c r="C6" s="2950"/>
      <c r="D6" s="2950"/>
      <c r="F6" s="242"/>
      <c r="G6" s="224" t="s">
        <v>3700</v>
      </c>
      <c r="L6" s="374"/>
      <c r="P6" s="1698" t="s">
        <v>3205</v>
      </c>
      <c r="Z6" s="1618">
        <v>6</v>
      </c>
      <c r="AA6" s="1729">
        <v>5</v>
      </c>
    </row>
    <row r="7" spans="1:28" s="144" customFormat="1" ht="12" customHeight="1" thickBot="1">
      <c r="A7" s="2950"/>
      <c r="B7" s="2950"/>
      <c r="C7" s="2950"/>
      <c r="D7" s="2950"/>
      <c r="E7" s="983"/>
      <c r="F7" s="244"/>
      <c r="G7" s="224" t="s">
        <v>3985</v>
      </c>
      <c r="H7" s="248"/>
      <c r="I7" s="248"/>
      <c r="J7" s="248"/>
      <c r="O7" s="2951" t="s">
        <v>4752</v>
      </c>
      <c r="P7" s="2952"/>
      <c r="Q7" s="2953" t="s">
        <v>4530</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3182</v>
      </c>
      <c r="I10" s="2961">
        <f>'Part III-A-Uses of Funds'!$J$191</f>
        <v>1145000</v>
      </c>
      <c r="J10" s="2962"/>
      <c r="L10" s="144" t="s">
        <v>3183</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5131</v>
      </c>
      <c r="G12" s="2966"/>
      <c r="H12" s="2967"/>
      <c r="I12" s="1699" t="s">
        <v>4413</v>
      </c>
      <c r="J12" s="1457" t="s">
        <v>4826</v>
      </c>
      <c r="K12" s="243"/>
      <c r="L12" s="248"/>
      <c r="O12" s="2968" t="s">
        <v>5137</v>
      </c>
      <c r="P12" s="2969"/>
      <c r="Q12" s="2955"/>
      <c r="R12" s="2956"/>
      <c r="S12" s="2957"/>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3552</v>
      </c>
      <c r="D15" s="246"/>
      <c r="E15" s="245"/>
      <c r="G15" s="245"/>
      <c r="H15" s="245"/>
      <c r="I15" s="738" t="s">
        <v>3210</v>
      </c>
      <c r="L15" s="247"/>
      <c r="Q15" s="2955"/>
      <c r="R15" s="2956"/>
      <c r="S15" s="2957"/>
      <c r="Z15" s="1618">
        <v>15</v>
      </c>
      <c r="AA15" s="1729">
        <v>14</v>
      </c>
    </row>
    <row r="16" spans="1:28" s="144" customFormat="1">
      <c r="B16" s="144" t="s">
        <v>3211</v>
      </c>
      <c r="F16" s="2943" t="s">
        <v>5150</v>
      </c>
      <c r="G16" s="2944"/>
      <c r="H16" s="2945"/>
      <c r="I16" s="2044" t="s">
        <v>1665</v>
      </c>
      <c r="J16" s="2912" t="s">
        <v>5138</v>
      </c>
      <c r="K16" s="2914"/>
      <c r="L16" s="2939"/>
      <c r="M16" s="1808" t="s">
        <v>1834</v>
      </c>
      <c r="N16" s="2943" t="s">
        <v>5222</v>
      </c>
      <c r="O16" s="2944"/>
      <c r="P16" s="2945"/>
      <c r="Q16" s="2955"/>
      <c r="R16" s="2956"/>
      <c r="S16" s="2957"/>
      <c r="Z16" s="1618">
        <v>16</v>
      </c>
      <c r="AA16" s="1729">
        <v>15</v>
      </c>
    </row>
    <row r="17" spans="1:27" s="144" customFormat="1" ht="12.75" customHeight="1">
      <c r="B17" s="246" t="s">
        <v>1597</v>
      </c>
      <c r="F17" s="2908">
        <v>3142410900</v>
      </c>
      <c r="G17" s="2909"/>
      <c r="H17" s="2910"/>
      <c r="I17" s="2045" t="s">
        <v>1596</v>
      </c>
      <c r="J17" s="810"/>
      <c r="M17" s="246" t="s">
        <v>1598</v>
      </c>
      <c r="N17" s="2908">
        <v>3142410900</v>
      </c>
      <c r="O17" s="2909"/>
      <c r="P17" s="2910"/>
      <c r="Q17" s="2955"/>
      <c r="R17" s="2956"/>
      <c r="S17" s="2957"/>
      <c r="V17" s="738"/>
      <c r="W17" s="738"/>
      <c r="X17" s="738"/>
      <c r="Z17" s="1618">
        <v>17</v>
      </c>
      <c r="AA17" s="1729">
        <v>16</v>
      </c>
    </row>
    <row r="18" spans="1:27" s="144" customFormat="1">
      <c r="B18" s="246" t="s">
        <v>1837</v>
      </c>
      <c r="F18" s="2937" t="s">
        <v>5184</v>
      </c>
      <c r="G18" s="2938"/>
      <c r="H18" s="2938"/>
      <c r="I18" s="2914"/>
      <c r="J18" s="2938"/>
      <c r="K18" s="2914"/>
      <c r="L18" s="2939"/>
      <c r="M18" s="246" t="s">
        <v>1833</v>
      </c>
      <c r="N18" s="2940"/>
      <c r="O18" s="2941"/>
      <c r="P18" s="2942"/>
      <c r="Q18" s="2955"/>
      <c r="R18" s="2956"/>
      <c r="S18" s="2957"/>
      <c r="U18" s="738"/>
      <c r="V18" s="738"/>
      <c r="W18" s="738"/>
      <c r="X18" s="738"/>
      <c r="Z18" s="1618">
        <v>18</v>
      </c>
      <c r="AA18" s="1729">
        <v>17</v>
      </c>
    </row>
    <row r="19" spans="1:27" s="144" customFormat="1">
      <c r="A19" s="374"/>
      <c r="B19" s="243" t="s">
        <v>3551</v>
      </c>
      <c r="C19" s="145"/>
      <c r="H19" s="248"/>
      <c r="J19" s="145"/>
      <c r="P19" s="248"/>
      <c r="Q19" s="2955"/>
      <c r="R19" s="2956"/>
      <c r="S19" s="2957"/>
      <c r="Z19" s="1618">
        <v>19</v>
      </c>
      <c r="AA19" s="1729">
        <v>18</v>
      </c>
    </row>
    <row r="20" spans="1:27" s="144" customFormat="1">
      <c r="B20" s="144" t="s">
        <v>3211</v>
      </c>
      <c r="F20" s="2943" t="s">
        <v>5181</v>
      </c>
      <c r="G20" s="2944"/>
      <c r="H20" s="2945"/>
      <c r="I20" s="2044" t="s">
        <v>1665</v>
      </c>
      <c r="J20" s="2912" t="s">
        <v>5141</v>
      </c>
      <c r="K20" s="2914"/>
      <c r="L20" s="2939"/>
      <c r="M20" s="1808" t="s">
        <v>1834</v>
      </c>
      <c r="N20" s="2943" t="s">
        <v>5183</v>
      </c>
      <c r="O20" s="2944"/>
      <c r="P20" s="2945"/>
      <c r="Q20" s="2955"/>
      <c r="R20" s="2956"/>
      <c r="S20" s="2957"/>
      <c r="Z20" s="1618">
        <v>20</v>
      </c>
      <c r="AA20" s="1729">
        <v>19</v>
      </c>
    </row>
    <row r="21" spans="1:27" s="144" customFormat="1">
      <c r="B21" s="246" t="s">
        <v>1597</v>
      </c>
      <c r="F21" s="2908">
        <v>4049190644</v>
      </c>
      <c r="G21" s="2909"/>
      <c r="H21" s="2910"/>
      <c r="I21" s="2045" t="s">
        <v>1596</v>
      </c>
      <c r="J21" s="810"/>
      <c r="M21" s="246" t="s">
        <v>1598</v>
      </c>
      <c r="N21" s="2908">
        <v>4049190644</v>
      </c>
      <c r="O21" s="2909"/>
      <c r="P21" s="2910"/>
      <c r="Q21" s="2955"/>
      <c r="R21" s="2956"/>
      <c r="S21" s="2957"/>
      <c r="U21" s="230"/>
      <c r="V21" s="230"/>
      <c r="W21" s="230"/>
      <c r="X21" s="230"/>
      <c r="Z21" s="1618">
        <v>21</v>
      </c>
      <c r="AA21" s="1729">
        <v>20</v>
      </c>
    </row>
    <row r="22" spans="1:27" s="144" customFormat="1">
      <c r="B22" s="246" t="s">
        <v>1837</v>
      </c>
      <c r="F22" s="2937" t="s">
        <v>5182</v>
      </c>
      <c r="G22" s="2938"/>
      <c r="H22" s="2938"/>
      <c r="I22" s="2914"/>
      <c r="J22" s="2938"/>
      <c r="K22" s="2914"/>
      <c r="L22" s="2939"/>
      <c r="M22" s="246" t="s">
        <v>1833</v>
      </c>
      <c r="N22" s="2940">
        <v>7702562259</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5139</v>
      </c>
      <c r="G26" s="2913"/>
      <c r="H26" s="2913"/>
      <c r="I26" s="2914"/>
      <c r="J26" s="2913"/>
      <c r="K26" s="2915"/>
      <c r="M26" s="246" t="s">
        <v>424</v>
      </c>
      <c r="P26" s="1809" t="s">
        <v>2641</v>
      </c>
      <c r="Q26" s="2955"/>
      <c r="R26" s="2956"/>
      <c r="S26" s="2957"/>
      <c r="Z26" s="1618">
        <v>26</v>
      </c>
      <c r="AA26" s="1729">
        <v>25</v>
      </c>
    </row>
    <row r="27" spans="1:27" s="144" customFormat="1">
      <c r="A27" s="374"/>
      <c r="B27" s="144" t="s">
        <v>574</v>
      </c>
      <c r="F27" s="2916" t="s">
        <v>1902</v>
      </c>
      <c r="G27" s="2917"/>
      <c r="H27" s="2918"/>
      <c r="I27" s="257" t="s">
        <v>575</v>
      </c>
      <c r="J27" s="2919" t="str">
        <f>IF(F27="","",VLOOKUP(F27,'DCA Underwriting Assumptions'!$T$166:$U$795,2,FALSE))</f>
        <v>Crisp</v>
      </c>
      <c r="K27" s="2920"/>
      <c r="M27" s="246" t="s">
        <v>425</v>
      </c>
      <c r="P27" s="1866" t="s">
        <v>2644</v>
      </c>
      <c r="Q27" s="2955"/>
      <c r="R27" s="2956"/>
      <c r="S27" s="2957"/>
      <c r="U27" s="374"/>
      <c r="Z27" s="1618">
        <v>27</v>
      </c>
      <c r="AA27" s="1729">
        <v>26</v>
      </c>
    </row>
    <row r="28" spans="1:27" s="144" customFormat="1" ht="13.5">
      <c r="A28" s="374"/>
      <c r="B28" s="144" t="s">
        <v>3782</v>
      </c>
      <c r="C28" s="251"/>
      <c r="D28" s="252"/>
      <c r="E28" s="252"/>
      <c r="F28" s="2916" t="s">
        <v>5140</v>
      </c>
      <c r="G28" s="2921"/>
      <c r="H28" s="2922"/>
      <c r="I28" s="248"/>
      <c r="J28" s="391" t="s">
        <v>4618</v>
      </c>
      <c r="K28" s="248"/>
      <c r="M28" s="246" t="s">
        <v>4561</v>
      </c>
      <c r="O28" s="2923">
        <v>19.89</v>
      </c>
      <c r="P28" s="2924"/>
      <c r="Q28" s="2955"/>
      <c r="R28" s="2956"/>
      <c r="S28" s="2957"/>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19" t="str">
        <f>IF($F$27="","",VLOOKUP($J$27,'DCA Underwriting Assumptions'!$G$166:$L$325,3,FALSE))</f>
        <v>Crisp Co.</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4548</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4547</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3808</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formula1>"&lt;&lt; Select from list &gt;&gt;,City Limits, Unincorporated County, Consolidated Government"</formula1>
    </dataValidation>
    <dataValidation type="list" showInputMessage="1" showErrorMessage="1" sqref="F29">
      <formula1>"Yes, No"</formula1>
    </dataValidation>
    <dataValidation type="list" allowBlank="1" showInputMessage="1" showErrorMessage="1" sqref="H33:H34 D30 P35 I35:I38 D28 P13:Q13">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formula1>1000000000</formula1>
      <formula2>9999999999</formula2>
    </dataValidation>
    <dataValidation type="list" operator="greaterThanOrEqual" showInputMessage="1" showErrorMessage="1" error="Please enter a whole number or leave this cell empty." sqref="P26:P27">
      <formula1>"Yes, No"</formula1>
    </dataValidation>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2574</v>
      </c>
      <c r="B1" s="4636"/>
      <c r="C1" s="4636"/>
      <c r="D1" s="4636"/>
      <c r="E1" s="4636"/>
      <c r="F1" s="4636"/>
      <c r="G1" s="4636"/>
      <c r="H1" s="4636"/>
      <c r="I1" s="4636"/>
      <c r="J1" s="4636"/>
    </row>
    <row r="2" spans="1:16" ht="15.75">
      <c r="A2" s="4636" t="str">
        <f>'Sensitivity Analysis'!C8</f>
        <v>Pateville Estates</v>
      </c>
      <c r="B2" s="4636"/>
      <c r="C2" s="4636"/>
      <c r="D2" s="4636"/>
      <c r="E2" s="4636"/>
      <c r="F2" s="4636"/>
      <c r="G2" s="4636"/>
      <c r="H2" s="4636"/>
      <c r="I2" s="4636"/>
      <c r="J2" s="4636"/>
    </row>
    <row r="3" spans="1:16" ht="15.75">
      <c r="A3" s="4636" t="str">
        <f>'Subsidy Layering Memo'!F14</f>
        <v>Cordele, Crisp</v>
      </c>
      <c r="B3" s="4636"/>
      <c r="C3" s="4636"/>
      <c r="D3" s="4636"/>
      <c r="E3" s="4636"/>
      <c r="F3" s="4636"/>
      <c r="G3" s="4636"/>
      <c r="H3" s="4636"/>
      <c r="I3" s="4636"/>
      <c r="J3" s="4636"/>
    </row>
    <row r="4" spans="1:16" ht="15.75">
      <c r="A4" s="4637" t="s">
        <v>2575</v>
      </c>
      <c r="B4" s="4636"/>
      <c r="C4" s="4636"/>
      <c r="D4" s="4636"/>
      <c r="E4" s="4636"/>
      <c r="F4" s="4636"/>
      <c r="G4" s="4636"/>
      <c r="H4" s="4636"/>
      <c r="I4" s="4636"/>
      <c r="J4" s="4636"/>
    </row>
    <row r="5" spans="1:16" ht="5.25" customHeight="1"/>
    <row r="6" spans="1:16" ht="5.25" customHeight="1"/>
    <row r="7" spans="1:16" ht="15.75">
      <c r="A7" s="4638" t="s">
        <v>2576</v>
      </c>
      <c r="B7" s="4638"/>
      <c r="C7" s="4639"/>
      <c r="M7" s="4640"/>
      <c r="N7" s="4640"/>
      <c r="O7" s="4640"/>
      <c r="P7" s="4640"/>
    </row>
    <row r="8" spans="1:16" ht="57" customHeight="1">
      <c r="A8" s="4641" t="s">
        <v>4052</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Cordele, Crisp County, Georgia, with the development of 76 units set aside for &lt;&lt; Select PROPOSED Tenancy &gt;&gt;.</v>
      </c>
      <c r="B9" s="4641"/>
      <c r="C9" s="4641"/>
      <c r="D9" s="4641"/>
      <c r="E9" s="4641"/>
      <c r="F9" s="4641"/>
      <c r="G9" s="4641"/>
      <c r="H9" s="4641"/>
      <c r="I9" s="4641"/>
      <c r="J9" s="4641"/>
      <c r="K9" s="505"/>
    </row>
    <row r="10" spans="1:16" ht="15.75">
      <c r="A10" s="506" t="s">
        <v>2577</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2578</v>
      </c>
      <c r="B14" s="507"/>
    </row>
    <row r="15" spans="1:16">
      <c r="A15" s="504" t="s">
        <v>2579</v>
      </c>
      <c r="D15" s="1002" t="s">
        <v>2580</v>
      </c>
    </row>
    <row r="16" spans="1:16">
      <c r="A16" s="504" t="s">
        <v>2581</v>
      </c>
      <c r="D16" s="1195">
        <f>'Sensitivity Analysis'!C25</f>
        <v>3200000</v>
      </c>
    </row>
    <row r="17" spans="1:11">
      <c r="A17" s="508" t="s">
        <v>2582</v>
      </c>
      <c r="D17" s="1196">
        <f>'Sensitivity Analysis'!C13</f>
        <v>76</v>
      </c>
    </row>
    <row r="18" spans="1:11" ht="14.25" customHeight="1"/>
    <row r="19" spans="1:11" ht="15.75">
      <c r="A19" s="506" t="s">
        <v>2583</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'Subsidy Layering Memo'!A67</f>
        <v xml:space="preserve"> will make a capital contribution totaling 9159084 via the syndication of the 2024 Federal LIHTC allocation of 1145000 per annum. will make a capital contribution totaling 4580000 via the syndication of the 2024 State LIHTC allocation of 1145000 per annum.</v>
      </c>
      <c r="B21" s="4641"/>
      <c r="C21" s="4641"/>
      <c r="D21" s="4641"/>
      <c r="E21" s="4641"/>
      <c r="F21" s="4641"/>
      <c r="G21" s="4641"/>
      <c r="H21" s="4641"/>
      <c r="I21" s="4641"/>
      <c r="J21" s="4641"/>
    </row>
    <row r="22" spans="1:11" ht="43.5" customHeight="1">
      <c r="A22" s="4645" t="str">
        <f>'Subsidy Layering Memo'!A68</f>
        <v xml:space="preserve">The total equity price per credit will be 1.2 (0.8 Federal tax credit and 0.4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4053</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Pateville Estates</v>
      </c>
    </row>
    <row r="13" spans="1:10" ht="15">
      <c r="A13" s="514"/>
      <c r="D13" s="513" t="s">
        <v>2597</v>
      </c>
      <c r="F13" s="1003" t="str">
        <f>'Sensitivity Analysis'!E8</f>
        <v>2024-0</v>
      </c>
    </row>
    <row r="14" spans="1:10" ht="15">
      <c r="A14" s="514"/>
      <c r="D14" s="513" t="s">
        <v>2598</v>
      </c>
      <c r="F14" s="1003" t="str">
        <f>'Sensitivity Analysis'!H8</f>
        <v>Cordele, Crisp</v>
      </c>
    </row>
    <row r="15" spans="1:10" ht="15">
      <c r="A15" s="514"/>
      <c r="D15" s="513" t="s">
        <v>2881</v>
      </c>
      <c r="F15" s="4655">
        <f>'Sensitivity Analysis'!$C$25</f>
        <v>3200000</v>
      </c>
      <c r="G15" s="4655"/>
      <c r="H15" s="4655"/>
    </row>
    <row r="16" spans="1:10">
      <c r="D16" s="516" t="s">
        <v>4948</v>
      </c>
      <c r="F16" s="2390">
        <f>'Sensitivity Analysis'!C13</f>
        <v>76</v>
      </c>
      <c r="G16" s="2388">
        <f>'Sensitivity Analysis'!E13</f>
        <v>76</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4055</v>
      </c>
    </row>
    <row r="22" spans="1:18" ht="111.75" customHeight="1">
      <c r="A22" s="4647" t="s">
        <v>3014</v>
      </c>
      <c r="B22" s="4647"/>
      <c r="C22" s="4647"/>
      <c r="D22" s="4647"/>
      <c r="E22" s="4647"/>
      <c r="F22" s="4647"/>
      <c r="G22" s="4647"/>
      <c r="H22" s="4647"/>
      <c r="I22" s="4647"/>
      <c r="J22" s="4647"/>
      <c r="K22" s="4646" t="s">
        <v>3774</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4054</v>
      </c>
    </row>
    <row r="27" spans="1:18" ht="14.25" customHeight="1">
      <c r="A27" s="4649" t="s">
        <v>4056</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4057</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2599</v>
      </c>
    </row>
    <row r="47" spans="1:10" ht="135" customHeight="1">
      <c r="A47" s="4645" t="s">
        <v>4949</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2600</v>
      </c>
    </row>
    <row r="50" spans="1:12" ht="33" customHeight="1">
      <c r="A50" s="4641" t="s">
        <v>3363</v>
      </c>
      <c r="B50" s="4643"/>
      <c r="C50" s="4643"/>
      <c r="D50" s="4643"/>
      <c r="E50" s="4643"/>
      <c r="F50" s="4643"/>
      <c r="G50" s="4643"/>
      <c r="H50" s="4643"/>
      <c r="I50" s="4643"/>
      <c r="J50" s="4641"/>
    </row>
    <row r="51" spans="1:12" ht="3" customHeight="1"/>
    <row r="52" spans="1:12" ht="72.75" customHeight="1">
      <c r="A52" s="4641" t="s">
        <v>3364</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3365</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3366</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2889</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3367</v>
      </c>
      <c r="B60" s="4641"/>
      <c r="C60" s="4641"/>
      <c r="D60" s="4641"/>
      <c r="E60" s="4641"/>
      <c r="F60" s="4641"/>
      <c r="G60" s="4641"/>
      <c r="H60" s="4641"/>
      <c r="I60" s="4641"/>
      <c r="J60" s="4641"/>
    </row>
    <row r="61" spans="1:12" ht="3" customHeight="1"/>
    <row r="62" spans="1:12" ht="73.5" customHeight="1">
      <c r="A62" s="4641" t="s">
        <v>3368</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47" t="s">
        <v>2602</v>
      </c>
      <c r="B65" s="4647"/>
      <c r="C65" s="4647"/>
      <c r="D65" s="4647"/>
      <c r="E65" s="4647"/>
      <c r="F65" s="4647"/>
      <c r="G65" s="4647"/>
      <c r="H65" s="4647"/>
      <c r="I65" s="4647"/>
      <c r="J65" s="4647"/>
      <c r="L65" s="521">
        <f>'Closing term sheet'!C135</f>
        <v>925339</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4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9159084 via the syndication of the 2024 Federal LIHTC allocation of 1145000 per annum. will make a capital contribution totaling 4580000 via the syndication of the 2024 State LIHTC allocation of 1145000 per annum.</v>
      </c>
      <c r="B67" s="4641"/>
      <c r="C67" s="4641"/>
      <c r="D67" s="4641"/>
      <c r="E67" s="4641"/>
      <c r="F67" s="4641"/>
      <c r="G67" s="4641"/>
      <c r="H67" s="4641"/>
      <c r="I67" s="4641"/>
      <c r="J67" s="526"/>
      <c r="L67" s="2391">
        <f>'Part II-Sources of Funds'!I51</f>
        <v>9159084</v>
      </c>
      <c r="M67" s="2392">
        <f>'Part III-A-Uses of Funds'!$J$191</f>
        <v>1145000</v>
      </c>
      <c r="N67" s="2393">
        <f>'Part III-A-Uses of Funds'!N182</f>
        <v>0.8</v>
      </c>
      <c r="O67" s="2391">
        <f>'Part II-Sources of Funds'!I52</f>
        <v>4580000</v>
      </c>
      <c r="P67" s="2392">
        <f>M67</f>
        <v>1145000</v>
      </c>
      <c r="Q67" s="2393">
        <f>'Part III-A-Uses of Funds'!Q182</f>
        <v>0.4</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 Federal tax credit and 0.4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2603</v>
      </c>
    </row>
    <row r="70" spans="1:17" ht="177" customHeight="1">
      <c r="A70" s="4641" t="s">
        <v>4950</v>
      </c>
      <c r="B70" s="4641"/>
      <c r="C70" s="4641"/>
      <c r="D70" s="4641"/>
      <c r="E70" s="4641"/>
      <c r="F70" s="4641"/>
      <c r="G70" s="4641"/>
      <c r="H70" s="4641"/>
      <c r="I70" s="4641"/>
      <c r="J70" s="4641"/>
      <c r="L70" s="528">
        <f>'Part VI-Pro Forma'!K72</f>
        <v>2614007.1015753481</v>
      </c>
      <c r="M70" s="4654" t="s">
        <v>3013</v>
      </c>
      <c r="N70" s="4646"/>
    </row>
    <row r="71" spans="1:17" ht="6" customHeight="1">
      <c r="A71" s="519"/>
    </row>
    <row r="72" spans="1:17" ht="15">
      <c r="A72" s="519" t="s">
        <v>2604</v>
      </c>
    </row>
    <row r="73" spans="1:17" ht="72.599999999999994" customHeight="1">
      <c r="A73" s="4641" t="s">
        <v>2605</v>
      </c>
      <c r="B73" s="4641"/>
      <c r="C73" s="4641"/>
      <c r="D73" s="4641"/>
      <c r="E73" s="4641"/>
      <c r="F73" s="4641"/>
      <c r="G73" s="4641"/>
      <c r="H73" s="4641"/>
      <c r="I73" s="4641"/>
      <c r="J73" s="4641"/>
    </row>
    <row r="74" spans="1:17" ht="36" customHeight="1">
      <c r="A74" s="4641" t="s">
        <v>2606</v>
      </c>
      <c r="B74" s="4641"/>
      <c r="C74" s="4641"/>
      <c r="D74" s="4641"/>
      <c r="E74" s="4641"/>
      <c r="F74" s="4641"/>
      <c r="G74" s="4641"/>
      <c r="H74" s="4641"/>
      <c r="I74" s="4641"/>
      <c r="J74" s="4641"/>
    </row>
    <row r="75" spans="1:17" ht="6" customHeight="1">
      <c r="A75" s="519"/>
    </row>
    <row r="76" spans="1:17" ht="15">
      <c r="A76" s="519" t="s">
        <v>2607</v>
      </c>
    </row>
    <row r="77" spans="1:17" ht="105.75" customHeight="1">
      <c r="A77" s="4641" t="s">
        <v>2608</v>
      </c>
      <c r="B77" s="4641"/>
      <c r="C77" s="4641"/>
      <c r="D77" s="4641"/>
      <c r="E77" s="4641"/>
      <c r="F77" s="4641"/>
      <c r="G77" s="4641"/>
      <c r="H77" s="4641"/>
      <c r="I77" s="4641"/>
      <c r="J77" s="4641"/>
    </row>
    <row r="78" spans="1:17" ht="6" customHeight="1">
      <c r="A78" s="519"/>
    </row>
    <row r="79" spans="1:17" ht="15">
      <c r="A79" s="519" t="s">
        <v>2609</v>
      </c>
    </row>
    <row r="80" spans="1:17" ht="66" customHeight="1">
      <c r="A80" s="4641" t="s">
        <v>2610</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2611</v>
      </c>
      <c r="B82" s="518"/>
      <c r="C82" s="518"/>
      <c r="D82" s="1003"/>
      <c r="E82" s="518"/>
      <c r="F82" s="518"/>
      <c r="G82" s="518"/>
      <c r="H82" s="518"/>
      <c r="I82" s="518"/>
      <c r="J82" s="529"/>
    </row>
    <row r="83" spans="1:15" s="1192" customFormat="1" ht="63" customHeight="1">
      <c r="A83" s="4641" t="s">
        <v>3539</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2612</v>
      </c>
      <c r="B85" s="4652"/>
      <c r="C85" s="4652"/>
      <c r="D85" s="518"/>
      <c r="E85" s="518"/>
      <c r="F85" s="518"/>
      <c r="G85" s="518"/>
      <c r="H85" s="518"/>
      <c r="I85" s="518"/>
      <c r="J85" s="529"/>
    </row>
    <row r="86" spans="1:15" ht="41.25" customHeight="1">
      <c r="A86" s="4641" t="s">
        <v>4951</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2613</v>
      </c>
    </row>
    <row r="89" spans="1:15" ht="124.15" customHeight="1">
      <c r="A89" s="4641" t="s">
        <v>2614</v>
      </c>
      <c r="B89" s="4641"/>
      <c r="C89" s="4641"/>
      <c r="D89" s="4641"/>
      <c r="E89" s="4641"/>
      <c r="F89" s="4641"/>
      <c r="G89" s="4641"/>
      <c r="H89" s="4641"/>
      <c r="I89" s="4641"/>
      <c r="J89" s="4641"/>
      <c r="L89" s="4646" t="s">
        <v>2615</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1" t="s">
        <v>2617</v>
      </c>
      <c r="B92" s="4641"/>
      <c r="C92" s="4641"/>
      <c r="D92" s="4641"/>
      <c r="E92" s="4641"/>
      <c r="F92" s="4641"/>
      <c r="G92" s="4641"/>
      <c r="H92" s="4641"/>
      <c r="I92" s="4641"/>
      <c r="J92" s="4641"/>
      <c r="L92" s="4646" t="s">
        <v>2618</v>
      </c>
      <c r="M92" s="4646"/>
      <c r="N92" s="531" t="e">
        <f>'After-Tax Analysis'!G66</f>
        <v>#VALUE!</v>
      </c>
      <c r="O92" s="532" t="s">
        <v>2619</v>
      </c>
    </row>
    <row r="93" spans="1:15" ht="6" customHeight="1">
      <c r="A93" s="519"/>
    </row>
    <row r="94" spans="1:15" ht="15">
      <c r="A94" s="519" t="s">
        <v>2620</v>
      </c>
    </row>
    <row r="95" spans="1:15" ht="118.5" customHeight="1">
      <c r="A95" s="4641" t="s">
        <v>2621</v>
      </c>
      <c r="B95" s="4641"/>
      <c r="C95" s="4641"/>
      <c r="D95" s="4641"/>
      <c r="E95" s="4641"/>
      <c r="F95" s="4641"/>
      <c r="G95" s="4641"/>
      <c r="H95" s="4641"/>
      <c r="I95" s="4641"/>
      <c r="J95" s="4641"/>
    </row>
    <row r="96" spans="1:15" ht="20.25" customHeight="1">
      <c r="A96" s="4643" t="s">
        <v>2622</v>
      </c>
      <c r="B96" s="4643"/>
      <c r="C96" s="4643"/>
      <c r="D96" s="4641"/>
      <c r="E96" s="1190"/>
      <c r="F96" s="1190"/>
      <c r="G96" s="1190"/>
      <c r="H96" s="1190"/>
      <c r="I96" s="1190"/>
      <c r="J96" s="1190"/>
    </row>
    <row r="97" spans="1:14" ht="109.5" customHeight="1">
      <c r="A97" s="4658" t="s">
        <v>2623</v>
      </c>
      <c r="B97" s="4659"/>
      <c r="C97" s="4659"/>
      <c r="D97" s="4659"/>
      <c r="E97" s="4659"/>
      <c r="F97" s="4659"/>
      <c r="G97" s="4659"/>
      <c r="H97" s="4659"/>
      <c r="I97" s="4659"/>
      <c r="J97" s="4659"/>
    </row>
    <row r="98" spans="1:14" ht="11.25" customHeight="1">
      <c r="A98" s="519"/>
    </row>
    <row r="99" spans="1:14" ht="15">
      <c r="A99" s="519" t="s">
        <v>2624</v>
      </c>
    </row>
    <row r="100" spans="1:14" ht="110.65" customHeight="1">
      <c r="A100" s="4647" t="s">
        <v>2625</v>
      </c>
      <c r="B100" s="4647"/>
      <c r="C100" s="4647"/>
      <c r="D100" s="4647"/>
      <c r="E100" s="4647"/>
      <c r="F100" s="4647"/>
      <c r="G100" s="4647"/>
      <c r="H100" s="4647"/>
      <c r="I100" s="4647"/>
      <c r="J100" s="4647"/>
      <c r="L100" s="959">
        <f>'Part VI-Pro Forma'!K72</f>
        <v>2614007.1015753481</v>
      </c>
      <c r="M100" s="4650" t="s">
        <v>2626</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2627</v>
      </c>
      <c r="B104" s="4643"/>
      <c r="C104" s="4643"/>
      <c r="D104" s="1190"/>
      <c r="E104" s="1190"/>
      <c r="F104" s="1190"/>
      <c r="G104" s="1190"/>
      <c r="H104" s="1190"/>
      <c r="I104" s="1190"/>
      <c r="J104" s="529"/>
    </row>
    <row r="105" spans="1:14" ht="37.5" customHeight="1">
      <c r="A105" s="4641" t="s">
        <v>2628</v>
      </c>
      <c r="B105" s="4641"/>
      <c r="C105" s="4641"/>
      <c r="D105" s="4641"/>
      <c r="E105" s="4641"/>
      <c r="F105" s="4641"/>
      <c r="G105" s="4641"/>
      <c r="H105" s="4641"/>
      <c r="I105" s="4641"/>
      <c r="J105" s="4641"/>
    </row>
    <row r="106" spans="1:14" ht="6" customHeight="1">
      <c r="A106" s="519"/>
    </row>
    <row r="107" spans="1:14" ht="15">
      <c r="A107" s="519" t="s">
        <v>2629</v>
      </c>
    </row>
    <row r="108" spans="1:14" ht="43.5" customHeight="1">
      <c r="A108" s="4641" t="s">
        <v>2630</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6" t="s">
        <v>3966</v>
      </c>
      <c r="B120" s="4656"/>
      <c r="C120" s="4656"/>
      <c r="D120" s="4656"/>
      <c r="E120" s="4657"/>
      <c r="F120" s="1403" t="s">
        <v>3967</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Pateville Estates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2"/>
      <c r="J7" s="4662"/>
      <c r="K7" s="4662"/>
      <c r="L7" s="556"/>
      <c r="M7" s="504"/>
    </row>
    <row r="8" spans="1:14" ht="15.75">
      <c r="A8" s="565" t="s">
        <v>2639</v>
      </c>
      <c r="B8" s="565"/>
      <c r="C8" s="4662" t="str">
        <f>'Part I-Project Identification'!$F$26</f>
        <v>Pateville Estates</v>
      </c>
      <c r="D8" s="4662"/>
      <c r="E8" s="1887" t="str">
        <f>'Part I-Project Identification'!$O$7</f>
        <v>2024-0</v>
      </c>
      <c r="F8" s="565" t="s">
        <v>2640</v>
      </c>
      <c r="G8" s="556"/>
      <c r="H8" s="4662" t="str">
        <f>CONCATENATE('Part I-Project Identification'!$F$27,", ",'Part I-Project Identification'!$J$27)</f>
        <v>Cordele, Crisp</v>
      </c>
      <c r="I8" s="4662"/>
      <c r="J8" s="4662"/>
      <c r="K8" s="4662"/>
      <c r="L8" s="556"/>
      <c r="M8" s="538"/>
    </row>
    <row r="9" spans="1:14" ht="15.75">
      <c r="A9" s="565" t="s">
        <v>2642</v>
      </c>
      <c r="B9" s="565"/>
      <c r="C9" s="4662" t="s">
        <v>1641</v>
      </c>
      <c r="D9" s="4662"/>
      <c r="E9" s="556"/>
      <c r="F9" s="565" t="s">
        <v>2643</v>
      </c>
      <c r="G9" s="556"/>
      <c r="H9" s="4663"/>
      <c r="I9" s="4663"/>
      <c r="J9" s="4663"/>
      <c r="K9" s="4663"/>
      <c r="L9" s="4663"/>
      <c r="M9" s="538"/>
    </row>
    <row r="10" spans="1:14" ht="15.75">
      <c r="A10" s="565" t="s">
        <v>2645</v>
      </c>
      <c r="B10" s="556"/>
      <c r="C10" s="4664"/>
      <c r="D10" s="4664"/>
      <c r="E10" s="556"/>
      <c r="F10" s="565" t="s">
        <v>3047</v>
      </c>
      <c r="G10" s="556"/>
      <c r="H10" s="4661"/>
      <c r="I10" s="4661"/>
      <c r="J10" s="4661"/>
      <c r="K10" s="4661"/>
      <c r="L10" s="4661"/>
    </row>
    <row r="11" spans="1:14" ht="15.75">
      <c r="A11" s="565" t="s">
        <v>2646</v>
      </c>
      <c r="B11" s="556"/>
      <c r="C11" s="4665"/>
      <c r="D11" s="4665"/>
      <c r="E11" s="1901"/>
      <c r="F11" s="565" t="s">
        <v>605</v>
      </c>
      <c r="G11" s="556"/>
      <c r="H11" s="4661"/>
      <c r="I11" s="4661"/>
      <c r="J11" s="4661"/>
      <c r="K11" s="4661"/>
      <c r="L11" s="4661"/>
      <c r="M11" s="4666"/>
      <c r="N11" s="4667"/>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76</v>
      </c>
      <c r="D13" s="26"/>
      <c r="E13" s="1889">
        <f>'Part V-Revenues &amp; Expenses'!$P$63</f>
        <v>76</v>
      </c>
      <c r="F13" s="565" t="s">
        <v>3362</v>
      </c>
      <c r="G13" s="556"/>
      <c r="H13" s="1899"/>
      <c r="I13" s="1891"/>
      <c r="J13" s="1891"/>
      <c r="K13" s="1890">
        <f>'Part V-Revenues &amp; Expenses'!$K$179</f>
        <v>95657</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68" t="s">
        <v>3015</v>
      </c>
      <c r="I14" s="4668"/>
      <c r="J14" s="4668"/>
      <c r="K14" s="4668" t="s">
        <v>3015</v>
      </c>
      <c r="L14" s="4668"/>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17002516</v>
      </c>
      <c r="D18" s="1895">
        <f>IF(C18=0,"",$C$29/C18)</f>
        <v>0.18820743941661339</v>
      </c>
      <c r="E18" s="556" t="s">
        <v>2887</v>
      </c>
      <c r="F18" s="565" t="s">
        <v>4640</v>
      </c>
      <c r="G18" s="556"/>
      <c r="H18" s="4669">
        <f>'Part III-A-Uses of Funds'!$C$49</f>
        <v>8014200</v>
      </c>
      <c r="I18" s="4669"/>
      <c r="J18" s="1896">
        <f>IF(H18=0,"",$C$29/H18)</f>
        <v>0.39929125801701981</v>
      </c>
      <c r="K18" s="4662" t="s">
        <v>2888</v>
      </c>
      <c r="L18" s="4662"/>
      <c r="M18" s="504"/>
    </row>
    <row r="19" spans="1:13" ht="15.75">
      <c r="A19" s="565" t="s">
        <v>2652</v>
      </c>
      <c r="B19" s="556"/>
      <c r="C19" s="1897">
        <f>C18/C13</f>
        <v>223717.31578947368</v>
      </c>
      <c r="D19" s="556"/>
      <c r="E19" s="556"/>
      <c r="F19" s="565" t="s">
        <v>2652</v>
      </c>
      <c r="G19" s="556"/>
      <c r="H19" s="4670">
        <f>H18/C13</f>
        <v>105450</v>
      </c>
      <c r="I19" s="4670"/>
      <c r="J19" s="556"/>
      <c r="K19" s="556"/>
      <c r="L19" s="556"/>
      <c r="M19" s="504"/>
    </row>
    <row r="20" spans="1:13" ht="15.75">
      <c r="A20" s="565" t="s">
        <v>2653</v>
      </c>
      <c r="B20" s="556"/>
      <c r="C20" s="1887">
        <f>C18/K13</f>
        <v>177.74460834021556</v>
      </c>
      <c r="D20" s="1898"/>
      <c r="E20" s="1898"/>
      <c r="F20" s="565" t="s">
        <v>2653</v>
      </c>
      <c r="G20" s="556"/>
      <c r="H20" s="4662">
        <f>H18/K13</f>
        <v>83.78059107017782</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Sterling Bank</v>
      </c>
      <c r="C25" s="543">
        <f>'Part II-Sources of Funds'!I40</f>
        <v>3200000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3200000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13739084</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3200000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0.18820743941661339</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0.39929125801701981</v>
      </c>
      <c r="D40" s="504"/>
      <c r="E40" s="504"/>
      <c r="F40" s="507"/>
      <c r="G40" s="507" t="s">
        <v>2673</v>
      </c>
      <c r="H40" s="504"/>
      <c r="I40" s="504"/>
      <c r="K40" s="545">
        <f>C30/C18</f>
        <v>0.80806181861555082</v>
      </c>
      <c r="L40" s="504"/>
      <c r="M40" s="504"/>
    </row>
    <row r="46" spans="1:13" ht="15.75">
      <c r="A46" s="540" t="s">
        <v>2674</v>
      </c>
      <c r="B46" s="534"/>
      <c r="C46" s="534"/>
      <c r="D46" s="534"/>
      <c r="E46" s="534"/>
      <c r="F46" s="534"/>
      <c r="G46" s="534"/>
      <c r="H46" s="534"/>
      <c r="I46" s="534"/>
      <c r="J46" s="534"/>
      <c r="K46" s="534"/>
      <c r="L46" s="534"/>
      <c r="M46" s="504"/>
    </row>
    <row r="47" spans="1:13" ht="15.75">
      <c r="A47" s="540" t="str">
        <f>C8</f>
        <v>Pateville Estates</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71" t="s">
        <v>2677</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738960</v>
      </c>
      <c r="D52" s="557"/>
      <c r="E52" s="557">
        <f>$C$52</f>
        <v>738960</v>
      </c>
      <c r="F52" s="557"/>
      <c r="G52" s="557">
        <f>$C$52</f>
        <v>738960</v>
      </c>
      <c r="H52" s="557"/>
      <c r="I52" s="557">
        <f>$C$52</f>
        <v>738960</v>
      </c>
      <c r="J52" s="557"/>
      <c r="K52" s="557">
        <f>$C$52</f>
        <v>738960</v>
      </c>
      <c r="L52" s="558"/>
      <c r="M52"/>
      <c r="N52"/>
    </row>
    <row r="53" spans="1:14" s="504" customFormat="1" ht="18.75" customHeight="1">
      <c r="B53" s="556" t="s">
        <v>2681</v>
      </c>
      <c r="C53" s="557">
        <f>'Part VI-Pro Forma'!B16</f>
        <v>14779.2</v>
      </c>
      <c r="D53" s="557"/>
      <c r="E53" s="557">
        <f>$C$53</f>
        <v>14779.2</v>
      </c>
      <c r="F53" s="557"/>
      <c r="G53" s="557">
        <f>$C$53</f>
        <v>14779.2</v>
      </c>
      <c r="H53" s="557"/>
      <c r="I53" s="557">
        <f>$C$53</f>
        <v>14779.2</v>
      </c>
      <c r="J53" s="557"/>
      <c r="K53" s="557">
        <f>$C$53</f>
        <v>14779.2</v>
      </c>
      <c r="L53" s="558"/>
      <c r="M53"/>
      <c r="N53"/>
    </row>
    <row r="54" spans="1:14" s="504" customFormat="1" ht="18.75" customHeight="1">
      <c r="B54" s="556" t="s">
        <v>2679</v>
      </c>
      <c r="C54" s="557">
        <f>'Part VI-Pro Forma'!B17</f>
        <v>-52761.743999999999</v>
      </c>
      <c r="D54" s="557"/>
      <c r="E54" s="557">
        <f>-($C$52+E53)*F50</f>
        <v>-75373.919999999998</v>
      </c>
      <c r="F54" s="559"/>
      <c r="G54" s="557">
        <f>-($C$52+G53)*0.07</f>
        <v>-52761.743999999999</v>
      </c>
      <c r="H54" s="557"/>
      <c r="I54" s="557">
        <f>-($C$52+I53)*0.07</f>
        <v>-52761.743999999999</v>
      </c>
      <c r="J54" s="557"/>
      <c r="K54" s="557">
        <f>-($C$52+K53)*L54</f>
        <v>-75373.919999999998</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700977.45600000001</v>
      </c>
      <c r="D56" s="557"/>
      <c r="E56" s="563">
        <f>SUM(E52:E55)</f>
        <v>678365.27999999991</v>
      </c>
      <c r="F56" s="557"/>
      <c r="G56" s="563">
        <f>SUM(G52:G55)</f>
        <v>700977.45600000001</v>
      </c>
      <c r="H56" s="557"/>
      <c r="I56" s="563">
        <f>SUM(I52:I55)</f>
        <v>700977.45600000001</v>
      </c>
      <c r="J56" s="557"/>
      <c r="K56" s="563">
        <f>SUM(K52:K55)</f>
        <v>678365.27999999991</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5000</v>
      </c>
      <c r="D60" s="557"/>
      <c r="E60" s="557">
        <f>$C$60</f>
        <v>5000</v>
      </c>
      <c r="F60" s="557"/>
      <c r="G60" s="557">
        <f>$C$60</f>
        <v>5000</v>
      </c>
      <c r="H60" s="557"/>
      <c r="I60" s="557">
        <f>$C$60*(1+$J$50)</f>
        <v>5150</v>
      </c>
      <c r="J60" s="559"/>
      <c r="K60" s="557">
        <f>$C$60*(1+$J$50)</f>
        <v>5150</v>
      </c>
      <c r="L60" s="560">
        <v>0.03</v>
      </c>
      <c r="M60"/>
      <c r="N60"/>
    </row>
    <row r="61" spans="1:14" s="504" customFormat="1" ht="18.75" customHeight="1">
      <c r="B61" s="556" t="s">
        <v>1296</v>
      </c>
      <c r="C61" s="557">
        <f>+'Part V-Revenues &amp; Expenses'!L248</f>
        <v>48000</v>
      </c>
      <c r="D61" s="557"/>
      <c r="E61" s="557">
        <f>$C$61</f>
        <v>48000</v>
      </c>
      <c r="F61" s="557"/>
      <c r="G61" s="557">
        <f>$C$61*(1+H50)</f>
        <v>50400</v>
      </c>
      <c r="H61" s="559"/>
      <c r="I61" s="557">
        <f>$C$61</f>
        <v>48000</v>
      </c>
      <c r="J61" s="557"/>
      <c r="K61" s="557">
        <f>$C$61*(1+$L$61)</f>
        <v>50400</v>
      </c>
      <c r="L61" s="560">
        <v>0.05</v>
      </c>
      <c r="M61"/>
      <c r="N61"/>
    </row>
    <row r="62" spans="1:14" s="504" customFormat="1" ht="18.75" customHeight="1">
      <c r="B62" s="562" t="s">
        <v>2685</v>
      </c>
      <c r="C62" s="563">
        <f>SUM(C58:C61)</f>
        <v>61500</v>
      </c>
      <c r="D62" s="557"/>
      <c r="E62" s="563">
        <f>SUM(E58:E61)</f>
        <v>61500</v>
      </c>
      <c r="F62" s="557"/>
      <c r="G62" s="563">
        <f>SUM(G58:G61)</f>
        <v>63900</v>
      </c>
      <c r="H62" s="557"/>
      <c r="I62" s="563">
        <f>SUM(I58:I61)</f>
        <v>61650</v>
      </c>
      <c r="J62" s="557"/>
      <c r="K62" s="563">
        <f>SUM(K58:K61)</f>
        <v>64050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639477.45600000001</v>
      </c>
      <c r="D64" s="566"/>
      <c r="E64" s="566">
        <f>E56-E62</f>
        <v>616865.27999999991</v>
      </c>
      <c r="F64" s="566"/>
      <c r="G64" s="566">
        <f>G56-G62</f>
        <v>637077.45600000001</v>
      </c>
      <c r="H64" s="566"/>
      <c r="I64" s="566">
        <f>I56-I62</f>
        <v>639327.45600000001</v>
      </c>
      <c r="J64" s="566"/>
      <c r="K64" s="566">
        <f>K56-K62</f>
        <v>614315.27999999991</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639477.45600000001</v>
      </c>
      <c r="D70" s="566"/>
      <c r="E70" s="569">
        <f>E64-E66-E68</f>
        <v>616865.27999999991</v>
      </c>
      <c r="F70" s="566"/>
      <c r="G70" s="569">
        <f>G64-G66-G68</f>
        <v>637077.45600000001</v>
      </c>
      <c r="H70" s="566"/>
      <c r="I70" s="569">
        <f>I64-I66-I68</f>
        <v>639327.45600000001</v>
      </c>
      <c r="J70" s="566"/>
      <c r="K70" s="569">
        <f>K64-K66-K68</f>
        <v>614315.27999999991</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2.5305879819253225</v>
      </c>
      <c r="D72" s="570"/>
      <c r="E72" s="986">
        <f>-E70/E75</f>
        <v>2.4411053890772321</v>
      </c>
      <c r="F72" s="570"/>
      <c r="G72" s="986">
        <f>-G70/G75</f>
        <v>2.5210905225549629</v>
      </c>
      <c r="H72" s="570"/>
      <c r="I72" s="986">
        <f>-I70/I75</f>
        <v>2.5299943907146747</v>
      </c>
      <c r="J72" s="570"/>
      <c r="K72" s="986">
        <f>-K70/K75</f>
        <v>2.4310143384962255</v>
      </c>
      <c r="L72" s="4"/>
      <c r="M72" s="10"/>
      <c r="N72" s="10"/>
    </row>
    <row r="73" spans="1:14" s="504" customFormat="1" ht="18.75" customHeight="1">
      <c r="A73"/>
      <c r="B73" s="556" t="s">
        <v>2691</v>
      </c>
      <c r="C73" s="987">
        <f>C76/C62</f>
        <v>6.289077992341098</v>
      </c>
      <c r="D73" s="571"/>
      <c r="E73" s="987">
        <f>E76/E62</f>
        <v>5.9214003338045114</v>
      </c>
      <c r="F73" s="571"/>
      <c r="G73" s="987">
        <f>G76/G62</f>
        <v>6.0153098048353293</v>
      </c>
      <c r="H73" s="571"/>
      <c r="I73" s="987">
        <f>I76/I62</f>
        <v>6.2713430093913631</v>
      </c>
      <c r="J73" s="571"/>
      <c r="K73" s="987">
        <f>K76/K62</f>
        <v>5.6458410699293902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-252699.15947102249</v>
      </c>
      <c r="D75" s="557"/>
      <c r="E75" s="557">
        <f>$C$75</f>
        <v>-252699.15947102249</v>
      </c>
      <c r="F75" s="557"/>
      <c r="G75" s="557">
        <f>$C$75</f>
        <v>-252699.15947102249</v>
      </c>
      <c r="H75" s="557"/>
      <c r="I75" s="557">
        <f>$C$75</f>
        <v>-252699.15947102249</v>
      </c>
      <c r="J75" s="557"/>
      <c r="K75" s="557">
        <f>$C$75</f>
        <v>-252699.15947102249</v>
      </c>
      <c r="L75" s="26"/>
      <c r="M75"/>
      <c r="N75"/>
    </row>
    <row r="76" spans="1:14" s="504" customFormat="1" ht="18.75" customHeight="1">
      <c r="A76"/>
      <c r="B76" s="556" t="s">
        <v>1095</v>
      </c>
      <c r="C76" s="557">
        <f>C70+C75</f>
        <v>386778.29652897752</v>
      </c>
      <c r="D76" s="557"/>
      <c r="E76" s="557">
        <f>E70+E75</f>
        <v>364166.12052897742</v>
      </c>
      <c r="F76" s="557"/>
      <c r="G76" s="557">
        <f>G70+G75</f>
        <v>384378.29652897752</v>
      </c>
      <c r="H76" s="557"/>
      <c r="I76" s="557">
        <f>I70+I75</f>
        <v>386628.29652897752</v>
      </c>
      <c r="J76" s="557"/>
      <c r="K76" s="557">
        <f>K70+K75</f>
        <v>361616.12052897742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9% LIHTC"</formula1>
    </dataValidation>
    <dataValidation type="list" allowBlank="1" showInputMessage="1" showErrorMessage="1" sqref="B13">
      <formula1>$M$10:$M$14</formula1>
    </dataValidation>
    <dataValidation type="list" allowBlank="1" showInputMessage="1" showErrorMessage="1" sqref="H14:J14">
      <formula1>"Check rent chart &amp; select below,SF Detached, Semi-Detached, Row House/TH, Low-Rise Apt, Low-Rise Elevator, High-Rise Apt, High-Rise Elevator, Mfd Home"</formula1>
    </dataValidation>
    <dataValidation type="list" allowBlank="1" showInputMessage="1" showErrorMessage="1" sqref="K14:L14">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3327</v>
      </c>
    </row>
    <row r="3" spans="1:7" ht="3" customHeight="1"/>
    <row r="4" spans="1:7">
      <c r="A4" s="940" t="s">
        <v>3328</v>
      </c>
      <c r="B4" s="941">
        <f>'Part III-A-Uses of Funds'!G146</f>
        <v>17002516</v>
      </c>
    </row>
    <row r="5" spans="1:7">
      <c r="A5" s="940" t="s">
        <v>3359</v>
      </c>
      <c r="B5" s="941">
        <f>+B18+B26+B38</f>
        <v>2566487.6366649684</v>
      </c>
    </row>
    <row r="6" spans="1:7">
      <c r="A6" s="940" t="s">
        <v>3329</v>
      </c>
      <c r="B6" s="942">
        <f>+B5-B4</f>
        <v>-14436028.363335032</v>
      </c>
    </row>
    <row r="7" spans="1:7">
      <c r="A7" s="940" t="s">
        <v>3330</v>
      </c>
      <c r="B7" s="943">
        <f>+B6/B4</f>
        <v>-0.84905247925277838</v>
      </c>
    </row>
    <row r="8" spans="1:7" ht="9" customHeight="1"/>
    <row r="9" spans="1:7">
      <c r="A9" s="940" t="s">
        <v>3331</v>
      </c>
      <c r="B9" s="941">
        <f>+B18+B26+B33</f>
        <v>2566377.6366649684</v>
      </c>
    </row>
    <row r="10" spans="1:7">
      <c r="A10" s="940" t="s">
        <v>3329</v>
      </c>
      <c r="B10" s="942">
        <f>+B9-B4</f>
        <v>-14436138.363335032</v>
      </c>
    </row>
    <row r="11" spans="1:7">
      <c r="A11" s="940" t="s">
        <v>3330</v>
      </c>
      <c r="B11" s="943">
        <f>+B10/B4</f>
        <v>-0.8490589488835083</v>
      </c>
    </row>
    <row r="12" spans="1:7" ht="24" customHeight="1"/>
    <row r="13" spans="1:7">
      <c r="A13" s="939" t="s">
        <v>3332</v>
      </c>
      <c r="D13" s="992" t="s">
        <v>3544</v>
      </c>
      <c r="E13" s="993"/>
    </row>
    <row r="14" spans="1:7">
      <c r="A14" s="940" t="s">
        <v>3333</v>
      </c>
      <c r="B14" s="944">
        <f>+SUM('Part II-Sources of Funds'!L51:M52)</f>
        <v>13740000</v>
      </c>
      <c r="D14" s="993"/>
      <c r="E14" s="993"/>
    </row>
    <row r="15" spans="1:7">
      <c r="A15" s="940" t="s">
        <v>3334</v>
      </c>
      <c r="B15" s="945">
        <f>+'Part III-A-Uses of Funds'!J180</f>
        <v>1380240.6</v>
      </c>
      <c r="D15" s="993" t="s">
        <v>1890</v>
      </c>
      <c r="G15" s="994">
        <f>'Part III-A-Uses of Funds'!J168</f>
        <v>0</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0</v>
      </c>
    </row>
    <row r="20" spans="1:7">
      <c r="A20" s="940" t="s">
        <v>3337</v>
      </c>
      <c r="B20" s="944">
        <f>+B18-B14</f>
        <v>-13740000</v>
      </c>
      <c r="D20" s="993" t="s">
        <v>3549</v>
      </c>
      <c r="G20" s="996">
        <f>+B14-G19</f>
        <v>13740000</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3200000</v>
      </c>
    </row>
    <row r="25" spans="1:7">
      <c r="A25" s="940" t="s">
        <v>3341</v>
      </c>
      <c r="B25" s="948">
        <f>IF('Part II-Sources of Funds'!E6="Yes","N/A",MAX(B46:P46))</f>
        <v>-11712.053862310888</v>
      </c>
    </row>
    <row r="26" spans="1:7">
      <c r="A26" s="940" t="s">
        <v>3342</v>
      </c>
      <c r="B26" s="938">
        <f>IFERROR(PV('Part II-Sources of Funds'!K40,'Part II-Sources of Funds'!L40,B25+B45),B24)</f>
        <v>2566377.6366649684</v>
      </c>
    </row>
    <row r="27" spans="1:7" ht="9" customHeight="1">
      <c r="B27" s="938"/>
    </row>
    <row r="28" spans="1:7">
      <c r="A28" s="940" t="s">
        <v>3343</v>
      </c>
      <c r="B28" s="949">
        <f>+B26-B24</f>
        <v>-633622.36333503155</v>
      </c>
      <c r="C28" s="950"/>
    </row>
    <row r="29" spans="1:7">
      <c r="A29" s="940" t="s">
        <v>3338</v>
      </c>
      <c r="B29" s="951">
        <f>+B28/B24</f>
        <v>-0.19800698854219737</v>
      </c>
    </row>
    <row r="30" spans="1:7" ht="24" customHeight="1"/>
    <row r="31" spans="1:7">
      <c r="A31" s="939" t="s">
        <v>3273</v>
      </c>
    </row>
    <row r="32" spans="1:7">
      <c r="A32" s="940" t="s">
        <v>3344</v>
      </c>
      <c r="B32" s="952">
        <f>+'Part II-Sources of Funds'!I45</f>
        <v>63322</v>
      </c>
    </row>
    <row r="33" spans="1:11">
      <c r="A33" s="940" t="s">
        <v>3345</v>
      </c>
      <c r="B33" s="938"/>
    </row>
    <row r="34" spans="1:11" ht="9" customHeight="1">
      <c r="B34" s="938"/>
    </row>
    <row r="35" spans="1:11">
      <c r="A35" s="940" t="s">
        <v>3346</v>
      </c>
      <c r="B35" s="952">
        <f>+B33-B32</f>
        <v>-63322</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110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317293.45600000001</v>
      </c>
      <c r="C44" s="941">
        <f>+'Part VI-Pro Forma'!C25</f>
        <v>319802.40512000013</v>
      </c>
      <c r="D44" s="941">
        <f>+'Part VI-Pro Forma'!D25</f>
        <v>322247.00722240005</v>
      </c>
      <c r="E44" s="941">
        <f>+'Part VI-Pro Forma'!E25</f>
        <v>324620.66798684793</v>
      </c>
      <c r="F44" s="941">
        <f>+'Part VI-Pro Forma'!F25</f>
        <v>326920.62918518501</v>
      </c>
      <c r="G44" s="941">
        <f>+'Part VI-Pro Forma'!G25</f>
        <v>329140.96264264674</v>
      </c>
      <c r="H44" s="941">
        <f>+'Part VI-Pro Forma'!H25</f>
        <v>331275.56399547047</v>
      </c>
      <c r="I44" s="941">
        <f>+'Part VI-Pro Forma'!I25</f>
        <v>333320.14623834944</v>
      </c>
      <c r="J44" s="941">
        <f>+'Part VI-Pro Forma'!J25</f>
        <v>335267.23305497551</v>
      </c>
      <c r="K44" s="941">
        <f>+'Part VI-Pro Forma'!K25</f>
        <v>337112.15192468982</v>
      </c>
    </row>
    <row r="45" spans="1:11">
      <c r="A45" s="940" t="s">
        <v>3350</v>
      </c>
      <c r="B45" s="941">
        <f>SUM('Part VI-Pro Forma'!B26:B29)</f>
        <v>-252699.15947102249</v>
      </c>
      <c r="C45" s="941">
        <f>SUM('Part VI-Pro Forma'!C26:C29)</f>
        <v>-252699.15947102249</v>
      </c>
      <c r="D45" s="941">
        <f>SUM('Part VI-Pro Forma'!D26:D29)</f>
        <v>-252699.15947102249</v>
      </c>
      <c r="E45" s="941">
        <f>SUM('Part VI-Pro Forma'!E26:E29)</f>
        <v>-252699.15947102249</v>
      </c>
      <c r="F45" s="941">
        <f>SUM('Part VI-Pro Forma'!F26:F29)</f>
        <v>-252699.15947102249</v>
      </c>
      <c r="G45" s="941">
        <f>SUM('Part VI-Pro Forma'!G26:G29)</f>
        <v>-252699.15947102249</v>
      </c>
      <c r="H45" s="941">
        <f>SUM('Part VI-Pro Forma'!H26:H29)</f>
        <v>-252699.15947102249</v>
      </c>
      <c r="I45" s="941">
        <f>SUM('Part VI-Pro Forma'!I26:I29)</f>
        <v>-252699.15947102249</v>
      </c>
      <c r="J45" s="941">
        <f>SUM('Part VI-Pro Forma'!J26:J29)</f>
        <v>-252699.15947102249</v>
      </c>
      <c r="K45" s="941">
        <f>SUM('Part VI-Pro Forma'!K26:K29)</f>
        <v>-252699.15947102249</v>
      </c>
    </row>
    <row r="46" spans="1:11">
      <c r="A46" s="940" t="s">
        <v>3351</v>
      </c>
      <c r="B46" s="942">
        <f t="shared" ref="B46:K46" si="0">-B44/B48-B45</f>
        <v>-11712.053862310888</v>
      </c>
      <c r="C46" s="942">
        <f t="shared" si="0"/>
        <v>-13802.844795644283</v>
      </c>
      <c r="D46" s="942">
        <f t="shared" si="0"/>
        <v>-15840.013214310922</v>
      </c>
      <c r="E46" s="942">
        <f t="shared" si="0"/>
        <v>-17818.063851350802</v>
      </c>
      <c r="F46" s="942">
        <f t="shared" si="0"/>
        <v>-19734.698183298344</v>
      </c>
      <c r="G46" s="942">
        <f t="shared" si="0"/>
        <v>-21584.976064516464</v>
      </c>
      <c r="H46" s="942">
        <f t="shared" si="0"/>
        <v>-23363.810525202891</v>
      </c>
      <c r="I46" s="942">
        <f t="shared" si="0"/>
        <v>-25067.629060935404</v>
      </c>
      <c r="J46" s="942">
        <f t="shared" si="0"/>
        <v>-26690.201408123772</v>
      </c>
      <c r="K46" s="942">
        <f t="shared" si="0"/>
        <v>-28227.633799552394</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317293.45600000001</v>
      </c>
      <c r="C51" s="942">
        <f t="shared" ref="C51:K51" si="2">+C44</f>
        <v>319802.40512000013</v>
      </c>
      <c r="D51" s="942">
        <f t="shared" si="2"/>
        <v>322247.00722240005</v>
      </c>
      <c r="E51" s="942">
        <f t="shared" si="2"/>
        <v>324620.66798684793</v>
      </c>
      <c r="F51" s="942">
        <f t="shared" si="2"/>
        <v>326920.62918518501</v>
      </c>
      <c r="G51" s="942">
        <f t="shared" si="2"/>
        <v>329140.96264264674</v>
      </c>
      <c r="H51" s="942">
        <f t="shared" si="2"/>
        <v>331275.56399547047</v>
      </c>
      <c r="I51" s="942">
        <f t="shared" si="2"/>
        <v>333320.14623834944</v>
      </c>
      <c r="J51" s="942">
        <f t="shared" si="2"/>
        <v>335267.23305497551</v>
      </c>
      <c r="K51" s="942">
        <f t="shared" si="2"/>
        <v>337112.15192468982</v>
      </c>
    </row>
    <row r="52" spans="1:17">
      <c r="A52" s="940" t="s">
        <v>3353</v>
      </c>
      <c r="B52" s="942">
        <f>IF($B$25="N/A",B45,B45+$B$25)</f>
        <v>-264411.21333333338</v>
      </c>
      <c r="C52" s="942">
        <f t="shared" ref="C52:K52" si="3">IF($B$25="N/A",C45,C45+$B$25)</f>
        <v>-264411.21333333338</v>
      </c>
      <c r="D52" s="942">
        <f t="shared" si="3"/>
        <v>-264411.21333333338</v>
      </c>
      <c r="E52" s="942">
        <f t="shared" si="3"/>
        <v>-264411.21333333338</v>
      </c>
      <c r="F52" s="942">
        <f t="shared" si="3"/>
        <v>-264411.21333333338</v>
      </c>
      <c r="G52" s="942">
        <f t="shared" si="3"/>
        <v>-264411.21333333338</v>
      </c>
      <c r="H52" s="942">
        <f t="shared" si="3"/>
        <v>-264411.21333333338</v>
      </c>
      <c r="I52" s="942">
        <f t="shared" si="3"/>
        <v>-264411.21333333338</v>
      </c>
      <c r="J52" s="942">
        <f t="shared" si="3"/>
        <v>-264411.21333333338</v>
      </c>
      <c r="K52" s="942">
        <f t="shared" si="3"/>
        <v>-264411.21333333338</v>
      </c>
    </row>
    <row r="53" spans="1:17">
      <c r="A53" s="940" t="s">
        <v>3354</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3355</v>
      </c>
      <c r="B54" s="942">
        <f>+SUM(B51:B53)</f>
        <v>45382.242666666629</v>
      </c>
      <c r="C54" s="942">
        <f t="shared" ref="C54:K54" si="4">+SUM(C51:C53)</f>
        <v>47891.19178666675</v>
      </c>
      <c r="D54" s="942">
        <f t="shared" si="4"/>
        <v>50335.79388906667</v>
      </c>
      <c r="E54" s="942">
        <f t="shared" si="4"/>
        <v>52709.454653514549</v>
      </c>
      <c r="F54" s="942">
        <f t="shared" si="4"/>
        <v>55009.415851851634</v>
      </c>
      <c r="G54" s="942">
        <f t="shared" si="4"/>
        <v>57229.749309313367</v>
      </c>
      <c r="H54" s="942">
        <f t="shared" si="4"/>
        <v>59364.350662137091</v>
      </c>
      <c r="I54" s="942">
        <f t="shared" si="4"/>
        <v>61408.93290501606</v>
      </c>
      <c r="J54" s="942">
        <f t="shared" si="4"/>
        <v>63356.019721642137</v>
      </c>
      <c r="K54" s="942">
        <f t="shared" si="4"/>
        <v>65200.938591356447</v>
      </c>
    </row>
    <row r="55" spans="1:17">
      <c r="A55" s="940" t="s">
        <v>3273</v>
      </c>
      <c r="B55" s="942">
        <f>-B54</f>
        <v>-45382.242666666629</v>
      </c>
      <c r="C55" s="942">
        <f t="shared" ref="C55:K55" si="5">-C54</f>
        <v>-47891.19178666675</v>
      </c>
      <c r="D55" s="942">
        <f t="shared" si="5"/>
        <v>-50335.79388906667</v>
      </c>
      <c r="E55" s="942">
        <f t="shared" si="5"/>
        <v>-52709.454653514549</v>
      </c>
      <c r="F55" s="942">
        <f t="shared" si="5"/>
        <v>-55009.415851851634</v>
      </c>
      <c r="G55" s="942">
        <f t="shared" si="5"/>
        <v>-57229.749309313367</v>
      </c>
      <c r="H55" s="942">
        <f t="shared" si="5"/>
        <v>-59364.350662137091</v>
      </c>
      <c r="I55" s="942">
        <f t="shared" si="5"/>
        <v>-61408.93290501606</v>
      </c>
      <c r="J55" s="942">
        <f t="shared" si="5"/>
        <v>-63356.019721642137</v>
      </c>
      <c r="K55" s="942">
        <f t="shared" si="5"/>
        <v>-65200.938591356447</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2491919.8068086943</v>
      </c>
      <c r="C58" s="941">
        <f>IF($B$26="","",-FV('Part II-Sources of Funds'!$K$40/12,12,C52/12,C26))</f>
        <v>-273692.39543657372</v>
      </c>
      <c r="D58" s="941">
        <f>IF($B$26="","",-FV('Part II-Sources of Funds'!$K$40/12,12,D52/12,D26))</f>
        <v>-273692.39543657372</v>
      </c>
      <c r="E58" s="941">
        <f>IF($B$26="","",-FV('Part II-Sources of Funds'!$K$40/12,12,E52/12,E26))</f>
        <v>-273692.39543657372</v>
      </c>
      <c r="F58" s="941">
        <f>IF($B$26="","",-FV('Part II-Sources of Funds'!$K$40/12,12,F52/12,F26))</f>
        <v>-273692.39543657372</v>
      </c>
      <c r="G58" s="941">
        <f>IF($B$26="","",-FV('Part II-Sources of Funds'!$K$40/12,12,G52/12,G26))</f>
        <v>-273692.39543657372</v>
      </c>
      <c r="H58" s="941">
        <f>IF($B$26="","",-FV('Part II-Sources of Funds'!$K$40/12,12,H52/12,H26))</f>
        <v>-273692.39543657372</v>
      </c>
      <c r="I58" s="941">
        <f>IF($B$26="","",-FV('Part II-Sources of Funds'!$K$40/12,12,I52/12,I26))</f>
        <v>-273692.39543657372</v>
      </c>
      <c r="J58" s="941">
        <f>IF($B$26="","",-FV('Part II-Sources of Funds'!$K$40/12,12,J52/12,J26))</f>
        <v>-273692.39543657372</v>
      </c>
      <c r="K58" s="941">
        <f>IF($B$26="","",-FV('Part II-Sources of Funds'!$K$40/12,12,K52/12,K26))</f>
        <v>-273692.39543657372</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338848.0269980568</v>
      </c>
      <c r="C64" s="941">
        <f>+'Part VI-Pro Forma'!C57</f>
        <v>340468.77173393703</v>
      </c>
      <c r="D64" s="941">
        <f>+'Part VI-Pro Forma'!D57</f>
        <v>341967.08129041299</v>
      </c>
      <c r="E64" s="941">
        <f>+'Part VI-Pro Forma'!E57</f>
        <v>343336.42466167209</v>
      </c>
      <c r="F64" s="941">
        <f>+'Part VI-Pro Forma'!F57</f>
        <v>344568.03655272</v>
      </c>
      <c r="G64" s="941">
        <f>+'Part VI-Pro Forma'!G57</f>
        <v>345655.90898352291</v>
      </c>
      <c r="H64" s="941">
        <f>+'Part VI-Pro Forma'!H57</f>
        <v>346591.78261393489</v>
      </c>
      <c r="I64" s="941">
        <f>+'Part VI-Pro Forma'!I57</f>
        <v>347366.137780477</v>
      </c>
      <c r="J64" s="941">
        <f>+'Part VI-Pro Forma'!J57</f>
        <v>347972.1852357781</v>
      </c>
      <c r="K64" s="941">
        <f>+'Part VI-Pro Forma'!K57</f>
        <v>348399.8565811757</v>
      </c>
    </row>
    <row r="65" spans="1:11">
      <c r="A65" s="940" t="s">
        <v>3350</v>
      </c>
      <c r="B65" s="941">
        <f>SUM('Part VI-Pro Forma'!B58:B61)</f>
        <v>-252699.15947102249</v>
      </c>
      <c r="C65" s="941">
        <f>SUM('Part VI-Pro Forma'!C58:C61)</f>
        <v>-252699.15947102249</v>
      </c>
      <c r="D65" s="941">
        <f>SUM('Part VI-Pro Forma'!D58:D61)</f>
        <v>-252699.15947102249</v>
      </c>
      <c r="E65" s="941">
        <f>SUM('Part VI-Pro Forma'!E58:E61)</f>
        <v>-252699.15947102249</v>
      </c>
      <c r="F65" s="941">
        <f>SUM('Part VI-Pro Forma'!F58:F61)</f>
        <v>-252699.15947102249</v>
      </c>
      <c r="G65" s="941">
        <f>SUM('Part VI-Pro Forma'!G58:G61)</f>
        <v>-252699.15947102249</v>
      </c>
      <c r="H65" s="941">
        <f>SUM('Part VI-Pro Forma'!H58:H61)</f>
        <v>-252699.15947102249</v>
      </c>
      <c r="I65" s="941">
        <f>SUM('Part VI-Pro Forma'!I58:I61)</f>
        <v>-252699.15947102249</v>
      </c>
      <c r="J65" s="941">
        <f>SUM('Part VI-Pro Forma'!J58:J61)</f>
        <v>-252699.15947102249</v>
      </c>
      <c r="K65" s="941">
        <f>SUM('Part VI-Pro Forma'!K58:K61)</f>
        <v>-252699.15947102249</v>
      </c>
    </row>
    <row r="66" spans="1:11">
      <c r="A66" s="940" t="s">
        <v>3351</v>
      </c>
      <c r="B66" s="942">
        <f t="shared" ref="B66:K66" si="7">-B64/B68-B65</f>
        <v>-29674.196360691509</v>
      </c>
      <c r="C66" s="942">
        <f t="shared" si="7"/>
        <v>-31024.816973925044</v>
      </c>
      <c r="D66" s="942">
        <f t="shared" si="7"/>
        <v>-32273.408270988322</v>
      </c>
      <c r="E66" s="942">
        <f t="shared" si="7"/>
        <v>-33414.527747037588</v>
      </c>
      <c r="F66" s="942">
        <f t="shared" si="7"/>
        <v>-34440.870989577554</v>
      </c>
      <c r="G66" s="942">
        <f t="shared" si="7"/>
        <v>-35347.431348579936</v>
      </c>
      <c r="H66" s="942">
        <f t="shared" si="7"/>
        <v>-36127.326040589949</v>
      </c>
      <c r="I66" s="942">
        <f t="shared" si="7"/>
        <v>-36772.622012708336</v>
      </c>
      <c r="J66" s="942">
        <f t="shared" si="7"/>
        <v>-37277.661558792635</v>
      </c>
      <c r="K66" s="942">
        <f t="shared" si="7"/>
        <v>-37634.054346623947</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338848.0269980568</v>
      </c>
      <c r="C71" s="942">
        <f t="shared" si="9"/>
        <v>340468.77173393703</v>
      </c>
      <c r="D71" s="942">
        <f t="shared" si="9"/>
        <v>341967.08129041299</v>
      </c>
      <c r="E71" s="942">
        <f t="shared" si="9"/>
        <v>343336.42466167209</v>
      </c>
      <c r="F71" s="942">
        <f t="shared" si="9"/>
        <v>344568.03655272</v>
      </c>
      <c r="G71" s="942">
        <f t="shared" si="9"/>
        <v>345655.90898352291</v>
      </c>
      <c r="H71" s="942">
        <f>+H64</f>
        <v>346591.78261393489</v>
      </c>
      <c r="I71" s="942">
        <f>+I64</f>
        <v>347366.137780477</v>
      </c>
      <c r="J71" s="942">
        <f>+J64</f>
        <v>347972.1852357781</v>
      </c>
      <c r="K71" s="942">
        <f>+K64</f>
        <v>348399.8565811757</v>
      </c>
    </row>
    <row r="72" spans="1:11">
      <c r="A72" s="940" t="s">
        <v>3353</v>
      </c>
      <c r="B72" s="942">
        <f t="shared" ref="B72:G72" si="10">IF($B$25="N/A",B65,B65+$B$25)</f>
        <v>-264411.21333333338</v>
      </c>
      <c r="C72" s="942">
        <f t="shared" si="10"/>
        <v>-264411.21333333338</v>
      </c>
      <c r="D72" s="942">
        <f t="shared" si="10"/>
        <v>-264411.21333333338</v>
      </c>
      <c r="E72" s="942">
        <f t="shared" si="10"/>
        <v>-264411.21333333338</v>
      </c>
      <c r="F72" s="942">
        <f t="shared" si="10"/>
        <v>-264411.21333333338</v>
      </c>
      <c r="G72" s="942">
        <f t="shared" si="10"/>
        <v>-264411.21333333338</v>
      </c>
      <c r="H72" s="942">
        <f>IF($B$25="N/A",H65,H65+$B$25)</f>
        <v>-264411.21333333338</v>
      </c>
      <c r="I72" s="942">
        <f>IF($B$25="N/A",I65,I65+$B$25)</f>
        <v>-264411.21333333338</v>
      </c>
      <c r="J72" s="942">
        <f>IF($B$25="N/A",J65,J65+$B$25)</f>
        <v>-264411.21333333338</v>
      </c>
      <c r="K72" s="942">
        <f>IF($B$25="N/A",K65,K65+$B$25)</f>
        <v>-264411.21333333338</v>
      </c>
    </row>
    <row r="73" spans="1:11">
      <c r="A73" s="940" t="s">
        <v>3354</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3355</v>
      </c>
      <c r="B74" s="942">
        <f t="shared" ref="B74:G74" si="11">+SUM(B71:B73)</f>
        <v>66936.813664723421</v>
      </c>
      <c r="C74" s="942">
        <f t="shared" si="11"/>
        <v>68557.558400603652</v>
      </c>
      <c r="D74" s="942">
        <f t="shared" si="11"/>
        <v>70055.867957079608</v>
      </c>
      <c r="E74" s="942">
        <f t="shared" si="11"/>
        <v>71425.211328338715</v>
      </c>
      <c r="F74" s="942">
        <f t="shared" si="11"/>
        <v>72656.823219386628</v>
      </c>
      <c r="G74" s="942">
        <f t="shared" si="11"/>
        <v>73744.695650189533</v>
      </c>
      <c r="H74" s="942">
        <f>+SUM(H71:H73)</f>
        <v>74680.569280601514</v>
      </c>
      <c r="I74" s="942">
        <f>+SUM(I71:I73)</f>
        <v>75454.924447143625</v>
      </c>
      <c r="J74" s="942">
        <f>+SUM(J71:J73)</f>
        <v>76060.971902444726</v>
      </c>
      <c r="K74" s="942">
        <f>+SUM(K71:K73)</f>
        <v>76488.643247842323</v>
      </c>
    </row>
    <row r="75" spans="1:11">
      <c r="A75" s="940" t="s">
        <v>3273</v>
      </c>
      <c r="B75" s="942">
        <f t="shared" ref="B75:G75" si="12">-B74</f>
        <v>-66936.813664723421</v>
      </c>
      <c r="C75" s="942">
        <f t="shared" si="12"/>
        <v>-68557.558400603652</v>
      </c>
      <c r="D75" s="942">
        <f t="shared" si="12"/>
        <v>-70055.867957079608</v>
      </c>
      <c r="E75" s="942">
        <f t="shared" si="12"/>
        <v>-71425.211328338715</v>
      </c>
      <c r="F75" s="942">
        <f t="shared" si="12"/>
        <v>-72656.823219386628</v>
      </c>
      <c r="G75" s="942">
        <f t="shared" si="12"/>
        <v>-73744.695650189533</v>
      </c>
      <c r="H75" s="942">
        <f>-H74</f>
        <v>-74680.569280601514</v>
      </c>
      <c r="I75" s="942">
        <f>-I74</f>
        <v>-75454.924447143625</v>
      </c>
      <c r="J75" s="942">
        <f>-J74</f>
        <v>-76060.971902444726</v>
      </c>
      <c r="K75" s="942">
        <f>-K74</f>
        <v>-76488.643247842323</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-568632.2428180211</v>
      </c>
      <c r="C78" s="941">
        <f>IF($B$26="","",-FV('Part II-Sources of Funds'!$K$40/12,12,C72/12,L58))</f>
        <v>-273692.39543657372</v>
      </c>
      <c r="D78" s="941">
        <f>IF($B$26="","",-FV('Part II-Sources of Funds'!$K$40/12,12,D72/12,M58))</f>
        <v>-273692.39543657372</v>
      </c>
      <c r="E78" s="941">
        <f>IF($B$26="","",-FV('Part II-Sources of Funds'!$K$40/12,12,E72/12,N58))</f>
        <v>-273692.39543657372</v>
      </c>
      <c r="F78" s="941">
        <f>IF($B$26="","",-FV('Part II-Sources of Funds'!$K$40/12,12,F72/12,O58))</f>
        <v>-273692.39543657372</v>
      </c>
      <c r="G78" s="941">
        <f>IF($B$26="","",-FV('Part II-Sources of Funds'!$K$40/12,12,G72/12,P58))</f>
        <v>-273692.39543657372</v>
      </c>
      <c r="H78" s="941">
        <f>IF($B$26="","",-FV('Part II-Sources of Funds'!$K$40/12,12,H72/12,Q58))</f>
        <v>-273692.39543657372</v>
      </c>
      <c r="I78" s="941">
        <f>IF($B$26="","",-FV('Part II-Sources of Funds'!$K$40/12,12,I72/12,R58))</f>
        <v>-273692.39543657372</v>
      </c>
      <c r="J78" s="941">
        <f>IF($B$26="","",-FV('Part II-Sources of Funds'!$K$40/12,12,J72/12,S58))</f>
        <v>-273692.39543657372</v>
      </c>
      <c r="K78" s="941">
        <f>IF($B$26="","",-FV('Part II-Sources of Funds'!$K$40/12,12,K72/12,T58))</f>
        <v>-273692.39543657372</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Pateville Estates</v>
      </c>
    </row>
    <row r="2" spans="1:15" ht="13.5" customHeight="1"/>
    <row r="3" spans="1:15" ht="13.5" customHeight="1">
      <c r="A3" s="514" t="s">
        <v>2698</v>
      </c>
      <c r="C3" s="513" t="s">
        <v>2699</v>
      </c>
      <c r="E3" s="575">
        <f>SUM('Part III-A-Uses of Funds'!J162,'Part III-A-Uses of Funds'!M162,'Part III-A-Uses of Funds'!P162)</f>
        <v>15045883</v>
      </c>
      <c r="F3" s="1003" t="s">
        <v>2700</v>
      </c>
      <c r="H3" s="988">
        <v>27.5</v>
      </c>
      <c r="I3" s="513" t="s">
        <v>2267</v>
      </c>
      <c r="K3" s="518" t="s">
        <v>2721</v>
      </c>
      <c r="M3" s="1003"/>
      <c r="O3" s="576"/>
    </row>
    <row r="4" spans="1:15" ht="13.5" customHeight="1">
      <c r="C4" s="513" t="s">
        <v>3043</v>
      </c>
      <c r="E4" s="575">
        <f>SUM('Part III-A-Uses of Funds'!G97:H101)</f>
        <v>57000</v>
      </c>
      <c r="F4" s="1003" t="s">
        <v>3541</v>
      </c>
      <c r="H4" s="514">
        <f>'Part II-Sources of Funds'!M40</f>
        <v>40</v>
      </c>
      <c r="I4" s="513" t="s">
        <v>2267</v>
      </c>
      <c r="K4" s="577" t="s">
        <v>2890</v>
      </c>
      <c r="M4" s="1003"/>
    </row>
    <row r="5" spans="1:15" ht="13.5" customHeight="1">
      <c r="C5" s="513" t="s">
        <v>3044</v>
      </c>
      <c r="E5" s="575">
        <f>SUM('Part III-A-Uses of Funds'!G105:H111)</f>
        <v>228600</v>
      </c>
      <c r="F5" s="1003" t="s">
        <v>3540</v>
      </c>
      <c r="H5" s="988">
        <v>15</v>
      </c>
      <c r="I5" s="513" t="s">
        <v>2267</v>
      </c>
      <c r="K5" s="576">
        <f>-E6</f>
        <v>-13739084</v>
      </c>
    </row>
    <row r="6" spans="1:15" ht="13.5" customHeight="1">
      <c r="C6" s="513" t="s">
        <v>2701</v>
      </c>
      <c r="E6" s="578">
        <f>'Part II-Sources of Funds'!$I$51+'Part II-Sources of Funds'!$I$52</f>
        <v>13739084</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0.29652897751657292</v>
      </c>
      <c r="D9" s="583">
        <f>'Part VI-Pro Forma'!C33</f>
        <v>53375.245648977638</v>
      </c>
      <c r="E9" s="583">
        <f>'Part VI-Pro Forma'!D33</f>
        <v>62047.847751377558</v>
      </c>
      <c r="F9" s="583">
        <f>'Part VI-Pro Forma'!E33</f>
        <v>64421.508515825437</v>
      </c>
      <c r="G9" s="583">
        <f>'Part VI-Pro Forma'!F33</f>
        <v>66721.469714162522</v>
      </c>
      <c r="H9" s="583">
        <f>'Part VI-Pro Forma'!G33</f>
        <v>68941.803171624255</v>
      </c>
      <c r="I9" s="583">
        <f>'Part VI-Pro Forma'!H33</f>
        <v>71076.404524447978</v>
      </c>
      <c r="K9" s="576" t="e">
        <f>F24</f>
        <v>#VALUE!</v>
      </c>
      <c r="N9" s="584" t="s">
        <v>2707</v>
      </c>
    </row>
    <row r="10" spans="1:15" ht="13.5" customHeight="1">
      <c r="A10" s="513" t="s">
        <v>2706</v>
      </c>
      <c r="C10" s="962">
        <f>'Part II-Sources of Funds'!I40-'Part VI-Pro Forma'!B40</f>
        <v>13144.916706968565</v>
      </c>
      <c r="D10" s="585">
        <f>'Part VI-Pro Forma'!B40-'Part VI-Pro Forma'!C40</f>
        <v>14165.390752676409</v>
      </c>
      <c r="E10" s="585">
        <f>'Part VI-Pro Forma'!C40-'Part VI-Pro Forma'!D40</f>
        <v>15265.086850618012</v>
      </c>
      <c r="F10" s="585">
        <f>'Part VI-Pro Forma'!D40-'Part VI-Pro Forma'!E40</f>
        <v>16450.155214594677</v>
      </c>
      <c r="G10" s="585">
        <f>'Part VI-Pro Forma'!E40-'Part VI-Pro Forma'!F40</f>
        <v>17727.223515488673</v>
      </c>
      <c r="H10" s="585">
        <f>'Part VI-Pro Forma'!F40-'Part VI-Pro Forma'!G40</f>
        <v>19103.433947497513</v>
      </c>
      <c r="I10" s="585">
        <f>'Part VI-Pro Forma'!G40-'Part VI-Pro Forma'!H40</f>
        <v>20586.483171916567</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-35720</v>
      </c>
      <c r="D13" s="963">
        <f>'Part VI-Pro Forma'!C23</f>
        <v>-36791.599999999999</v>
      </c>
      <c r="E13" s="963">
        <f>'Part VI-Pro Forma'!D23</f>
        <v>-37895.347999999998</v>
      </c>
      <c r="F13" s="963">
        <f>'Part VI-Pro Forma'!E23</f>
        <v>-39032.208440000002</v>
      </c>
      <c r="G13" s="963">
        <f>'Part VI-Pro Forma'!F23</f>
        <v>-40203.174693199995</v>
      </c>
      <c r="H13" s="963">
        <f>'Part VI-Pro Forma'!G23</f>
        <v>-41409.269933995995</v>
      </c>
      <c r="I13" s="963">
        <f>'Part VI-Pro Forma'!H23</f>
        <v>-42651.548032015875</v>
      </c>
      <c r="K13" s="576" t="e">
        <f>C44</f>
        <v>#VALUE!</v>
      </c>
      <c r="O13" s="581"/>
    </row>
    <row r="14" spans="1:15" ht="13.5" customHeight="1">
      <c r="A14" s="587" t="s">
        <v>3046</v>
      </c>
      <c r="B14" s="587"/>
      <c r="C14" s="963">
        <f>'Part VI-Pro Forma'!B32</f>
        <v>-57094</v>
      </c>
      <c r="D14" s="963">
        <f>'Part VI-Pro Forma'!C32</f>
        <v>-6228</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547123.01818181819</v>
      </c>
      <c r="D15" s="588">
        <f t="shared" si="0"/>
        <v>547123.01818181819</v>
      </c>
      <c r="E15" s="588">
        <f t="shared" si="0"/>
        <v>547123.01818181819</v>
      </c>
      <c r="F15" s="588">
        <f t="shared" si="0"/>
        <v>547123.01818181819</v>
      </c>
      <c r="G15" s="588">
        <f t="shared" si="0"/>
        <v>547123.01818181819</v>
      </c>
      <c r="H15" s="588">
        <f t="shared" si="0"/>
        <v>547123.01818181819</v>
      </c>
      <c r="I15" s="588">
        <f t="shared" si="0"/>
        <v>547123.01818181819</v>
      </c>
      <c r="K15" s="576" t="e">
        <f>E44</f>
        <v>#VALUE!</v>
      </c>
      <c r="O15" s="581"/>
    </row>
    <row r="16" spans="1:15" ht="13.5" customHeight="1">
      <c r="A16" s="513" t="s">
        <v>2711</v>
      </c>
      <c r="C16" s="588">
        <f>IF(C$8&lt;=$H$4,($E$4/$H$4),0)+IF(C$8&lt;=$H$5,($E$5/$H$5),0)</f>
        <v>16665</v>
      </c>
      <c r="D16" s="588">
        <f t="shared" ref="D16:I16" si="1">IF(D$8&lt;=$H$4,($E$4/$H$4),0)+IF(D$8&lt;=$H$5,($E$5/$H$5),0)</f>
        <v>16665</v>
      </c>
      <c r="E16" s="588">
        <f t="shared" si="1"/>
        <v>16665</v>
      </c>
      <c r="F16" s="588">
        <f t="shared" si="1"/>
        <v>16665</v>
      </c>
      <c r="G16" s="588">
        <f t="shared" si="1"/>
        <v>16665</v>
      </c>
      <c r="H16" s="588">
        <f t="shared" si="1"/>
        <v>16665</v>
      </c>
      <c r="I16" s="588">
        <f t="shared" si="1"/>
        <v>16665</v>
      </c>
      <c r="K16" s="576" t="e">
        <f>F44</f>
        <v>#VALUE!</v>
      </c>
      <c r="M16" s="513" t="s">
        <v>2715</v>
      </c>
      <c r="O16" s="581">
        <f>E3</f>
        <v>15045883</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10942460.363636363</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4103422.6363636367</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1145000</v>
      </c>
      <c r="D21" s="589">
        <f t="shared" ref="D21:I21" si="5">C21</f>
        <v>1145000</v>
      </c>
      <c r="E21" s="589">
        <f t="shared" si="5"/>
        <v>1145000</v>
      </c>
      <c r="F21" s="589">
        <f t="shared" si="5"/>
        <v>1145000</v>
      </c>
      <c r="G21" s="589">
        <f t="shared" si="5"/>
        <v>1145000</v>
      </c>
      <c r="H21" s="589">
        <f t="shared" si="5"/>
        <v>1145000</v>
      </c>
      <c r="I21" s="589">
        <f t="shared" si="5"/>
        <v>1145000</v>
      </c>
      <c r="J21" s="513" t="s">
        <v>233</v>
      </c>
      <c r="K21" s="576" t="e">
        <f>D64</f>
        <v>#VALUE!</v>
      </c>
      <c r="O21" s="581"/>
    </row>
    <row r="22" spans="1:17" ht="13.5" customHeight="1">
      <c r="A22" s="513" t="s">
        <v>2718</v>
      </c>
      <c r="C22" s="589">
        <f>C21</f>
        <v>1145000</v>
      </c>
      <c r="D22" s="589">
        <f t="shared" ref="D22:I22" si="6">D21</f>
        <v>1145000</v>
      </c>
      <c r="E22" s="589">
        <f t="shared" si="6"/>
        <v>1145000</v>
      </c>
      <c r="F22" s="589">
        <f t="shared" si="6"/>
        <v>1145000</v>
      </c>
      <c r="G22" s="589">
        <f t="shared" si="6"/>
        <v>1145000</v>
      </c>
      <c r="H22" s="589">
        <f t="shared" si="6"/>
        <v>1145000</v>
      </c>
      <c r="I22" s="589">
        <f t="shared" si="6"/>
        <v>1145000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4103422.6363636367</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-4103422.6363636367</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73120.986767326947</v>
      </c>
      <c r="D29" s="583">
        <f>'Part VI-Pro Forma'!J33</f>
        <v>75068.073583953024</v>
      </c>
      <c r="E29" s="583">
        <f>'Part VI-Pro Forma'!K33</f>
        <v>76912.992453667335</v>
      </c>
      <c r="F29" s="583">
        <f>'Part VI-Pro Forma'!B65</f>
        <v>78648.867527034308</v>
      </c>
      <c r="G29" s="583">
        <f>'Part VI-Pro Forma'!C65</f>
        <v>80269.612262914539</v>
      </c>
      <c r="H29" s="583">
        <f>'Part VI-Pro Forma'!D65</f>
        <v>81767.921819390496</v>
      </c>
      <c r="I29" s="583">
        <f>'Part VI-Pro Forma'!E65</f>
        <v>83137.265190649603</v>
      </c>
      <c r="N29" s="592"/>
      <c r="O29" s="592"/>
    </row>
    <row r="30" spans="1:17" ht="13.5" customHeight="1">
      <c r="A30" s="513" t="s">
        <v>2706</v>
      </c>
      <c r="C30" s="585">
        <f>'Part VI-Pro Forma'!H40-'Part VI-Pro Forma'!I40</f>
        <v>22184.665361858439</v>
      </c>
      <c r="D30" s="585">
        <f>'Part VI-Pro Forma'!I40-'Part VI-Pro Forma'!J40</f>
        <v>23906.918588650879</v>
      </c>
      <c r="E30" s="585">
        <f>'Part VI-Pro Forma'!J40-'Part VI-Pro Forma'!K40</f>
        <v>25762.87480932707</v>
      </c>
      <c r="F30" s="960">
        <f>'Part VI-Pro Forma'!K40-'Part VI-Pro Forma'!B72</f>
        <v>27762.913734777831</v>
      </c>
      <c r="G30" s="960">
        <f>'Part VI-Pro Forma'!B72-'Part VI-Pro Forma'!C72</f>
        <v>29918.220879824366</v>
      </c>
      <c r="H30" s="960">
        <f>'Part VI-Pro Forma'!C72-'Part VI-Pro Forma'!D72</f>
        <v>32240.850119873881</v>
      </c>
      <c r="I30" s="960">
        <f>'Part VI-Pro Forma'!D72-'Part VI-Pro Forma'!E72</f>
        <v>34743.791104007512</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-820684.52727272734</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-43931.094472976358</v>
      </c>
      <c r="D33" s="963">
        <f>'Part VI-Pro Forma'!J23</f>
        <v>-45249.027307165641</v>
      </c>
      <c r="E33" s="963">
        <f>'Part VI-Pro Forma'!K23</f>
        <v>-46606.498126380611</v>
      </c>
      <c r="F33" s="963">
        <f>'Part VI-Pro Forma'!B55</f>
        <v>-48004.693070172027</v>
      </c>
      <c r="G33" s="963">
        <f>'Part VI-Pro Forma'!C55</f>
        <v>-49444.833862277192</v>
      </c>
      <c r="H33" s="963">
        <f>'Part VI-Pro Forma'!D55</f>
        <v>-50928.178878145503</v>
      </c>
      <c r="I33" s="963">
        <f>'Part VI-Pro Forma'!E55</f>
        <v>-52456.024244489861</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547123.01818181819</v>
      </c>
      <c r="D35" s="588">
        <f t="shared" si="8"/>
        <v>547123.01818181819</v>
      </c>
      <c r="E35" s="588">
        <f t="shared" si="8"/>
        <v>547123.01818181819</v>
      </c>
      <c r="F35" s="588">
        <f t="shared" si="8"/>
        <v>547123.01818181819</v>
      </c>
      <c r="G35" s="588">
        <f t="shared" si="8"/>
        <v>547123.01818181819</v>
      </c>
      <c r="H35" s="588">
        <f t="shared" si="8"/>
        <v>547123.01818181819</v>
      </c>
      <c r="I35" s="588">
        <f t="shared" si="8"/>
        <v>547123.01818181819</v>
      </c>
    </row>
    <row r="36" spans="1:15" ht="13.5" customHeight="1">
      <c r="A36" s="513" t="s">
        <v>2711</v>
      </c>
      <c r="C36" s="583">
        <f>IF(C$28&lt;=$H$4,($E$4/$H$4),0)+IF(C$28&lt;=$H$5,($E$5/$H$5),0)</f>
        <v>16665</v>
      </c>
      <c r="D36" s="583">
        <f t="shared" ref="D36:I36" si="9">IF(D$28&lt;=$H$4,($E$4/$H$4),0)+IF(D$28&lt;=$H$5,($E$5/$H$5),0)</f>
        <v>16665</v>
      </c>
      <c r="E36" s="583">
        <f t="shared" si="9"/>
        <v>16665</v>
      </c>
      <c r="F36" s="583">
        <f t="shared" si="9"/>
        <v>16665</v>
      </c>
      <c r="G36" s="583">
        <f t="shared" si="9"/>
        <v>16665</v>
      </c>
      <c r="H36" s="583">
        <f t="shared" si="9"/>
        <v>16665</v>
      </c>
      <c r="I36" s="583">
        <f t="shared" si="9"/>
        <v>16665</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1145000</v>
      </c>
      <c r="D41" s="589">
        <f>C41</f>
        <v>1145000</v>
      </c>
      <c r="E41" s="589">
        <f>D41</f>
        <v>1145000</v>
      </c>
      <c r="F41" s="589">
        <v>0</v>
      </c>
      <c r="G41" s="589">
        <v>0</v>
      </c>
      <c r="H41" s="589">
        <v>0</v>
      </c>
      <c r="I41" s="589">
        <v>0</v>
      </c>
    </row>
    <row r="42" spans="1:15" ht="13.5" customHeight="1">
      <c r="A42" s="513" t="s">
        <v>2718</v>
      </c>
      <c r="C42" s="589">
        <f>C22</f>
        <v>1145000</v>
      </c>
      <c r="D42" s="589">
        <f>C42</f>
        <v>1145000</v>
      </c>
      <c r="E42" s="589">
        <f>D42</f>
        <v>1145000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84368.877081697516</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37441.041901522782</v>
      </c>
      <c r="D50" s="961">
        <f>'Part VI-Pro Forma'!F72-'Part VI-Pro Forma'!G72</f>
        <v>40347.687288215384</v>
      </c>
      <c r="E50" s="961">
        <f>'Part VI-Pro Forma'!G72-'Part VI-Pro Forma'!H72</f>
        <v>43479.98311022995</v>
      </c>
      <c r="F50" s="961">
        <f>'Part VI-Pro Forma'!H72-'Part VI-Pro Forma'!I72</f>
        <v>46855.447197293397</v>
      </c>
      <c r="G50" s="961">
        <f>'Part VI-Pro Forma'!I72-'Part VI-Pro Forma'!J72</f>
        <v>50492.957333780825</v>
      </c>
      <c r="H50" s="961">
        <f>'Part VI-Pro Forma'!J72-'Part VI-Pro Forma'!K72</f>
        <v>54412.856835529208</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-54029.704971824562</v>
      </c>
      <c r="D53" s="963">
        <f>'Part VI-Pro Forma'!G55</f>
        <v>-55650.596120979302</v>
      </c>
      <c r="E53" s="963">
        <f>'Part VI-Pro Forma'!H55</f>
        <v>-57320.114004608673</v>
      </c>
      <c r="F53" s="963">
        <f>'Part VI-Pro Forma'!I55</f>
        <v>-59039.717424746937</v>
      </c>
      <c r="G53" s="963">
        <f>'Part VI-Pro Forma'!J55</f>
        <v>-60810.908947489341</v>
      </c>
      <c r="H53" s="963">
        <f>'Part VI-Pro Forma'!K55</f>
        <v>-62635.236215914025</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547123.01818181819</v>
      </c>
      <c r="D55" s="588">
        <f t="shared" si="14"/>
        <v>547123.01818181819</v>
      </c>
      <c r="E55" s="588">
        <f t="shared" si="14"/>
        <v>547123.01818181819</v>
      </c>
      <c r="F55" s="588">
        <f t="shared" si="14"/>
        <v>547123.01818181819</v>
      </c>
      <c r="G55" s="588">
        <f t="shared" si="14"/>
        <v>547123.01818181819</v>
      </c>
      <c r="H55" s="588">
        <f t="shared" si="14"/>
        <v>547123.01818181819</v>
      </c>
    </row>
    <row r="56" spans="1:10" ht="13.5" customHeight="1">
      <c r="A56" s="513" t="s">
        <v>2711</v>
      </c>
      <c r="C56" s="583">
        <f t="shared" ref="C56:H56" si="15">IF(C$48&lt;=$H$4,($E$4/$H$4),0)+IF(C$48&lt;=$H$5,($E$5/$H$5),0)</f>
        <v>16665</v>
      </c>
      <c r="D56" s="583">
        <f t="shared" si="15"/>
        <v>1425</v>
      </c>
      <c r="E56" s="583">
        <f t="shared" si="15"/>
        <v>1425</v>
      </c>
      <c r="F56" s="583">
        <f t="shared" si="15"/>
        <v>1425</v>
      </c>
      <c r="G56" s="583">
        <f t="shared" si="15"/>
        <v>1425</v>
      </c>
      <c r="H56" s="583">
        <f t="shared" si="15"/>
        <v>1425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Pateville Estates</v>
      </c>
      <c r="B1" s="4676"/>
      <c r="C1" s="4676"/>
      <c r="D1" s="4676"/>
      <c r="E1" s="4676"/>
      <c r="F1" s="4676"/>
      <c r="G1" s="4676"/>
      <c r="H1" s="4676"/>
      <c r="I1" s="4676"/>
      <c r="J1" s="4676"/>
      <c r="K1" s="4676"/>
    </row>
    <row r="2" spans="1:11" s="438" customFormat="1" ht="17.649999999999999"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3962</v>
      </c>
      <c r="B4" s="4677"/>
      <c r="C4" s="1391"/>
      <c r="D4" s="4677" t="s">
        <v>3963</v>
      </c>
      <c r="E4" s="4677"/>
      <c r="F4" s="520"/>
      <c r="G4" s="4677" t="s">
        <v>3964</v>
      </c>
      <c r="H4" s="4677"/>
      <c r="I4" s="520"/>
      <c r="J4" s="4677" t="s">
        <v>4075</v>
      </c>
      <c r="K4" s="4677"/>
    </row>
    <row r="5" spans="1:11" ht="25.9" customHeight="1">
      <c r="A5" s="4678" t="str">
        <f>'Part II-Sources of Funds'!E40</f>
        <v>Sterling Bank</v>
      </c>
      <c r="B5" s="4679"/>
      <c r="C5" s="438"/>
      <c r="D5" s="4678">
        <f>'Part II-Sources of Funds'!E41</f>
        <v>0</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21058.263289251874</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21058.263289251874</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21058.263289251874</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21058.263289251874</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21058.263289251874</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21058.263289251874</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21058.263289251874</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21058.263289251874</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21058.263289251874</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21058.263289251874</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21058.263289251874</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21058.263289251874</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21058.263289251874</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21058.263289251874</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21058.263289251874</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21058.263289251874</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21058.263289251874</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21058.263289251874</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21058.263289251874</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21058.263289251874</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21058.263289251874</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21058.263289251874</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21058.263289251874</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21058.263289251874</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21058.263289251874</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21058.263289251874</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21058.263289251874</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21058.263289251874</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21058.263289251874</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21058.263289251874</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21058.263289251874</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21058.263289251874</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21058.263289251874</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21058.263289251874</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21058.263289251874</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Pateville Estates</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84"/>
      <c r="F7" s="4684"/>
      <c r="G7" s="4684"/>
      <c r="H7" s="4684"/>
      <c r="J7" s="4683"/>
      <c r="K7" s="4683"/>
    </row>
    <row r="8" spans="1:11" ht="12" customHeight="1">
      <c r="E8" s="4684"/>
      <c r="F8" s="4684"/>
      <c r="G8" s="4684"/>
      <c r="H8" s="4684"/>
      <c r="J8" s="4683"/>
      <c r="K8" s="4683"/>
    </row>
    <row r="9" spans="1:11" ht="12" customHeight="1">
      <c r="C9" s="431" t="s">
        <v>2732</v>
      </c>
      <c r="E9" s="4682"/>
      <c r="F9" s="4682"/>
      <c r="J9" s="4683"/>
      <c r="K9" s="4683"/>
    </row>
    <row r="10" spans="1:11" ht="12" customHeight="1">
      <c r="C10" s="431" t="s">
        <v>2733</v>
      </c>
      <c r="E10" s="4684"/>
      <c r="F10" s="4684"/>
      <c r="G10" s="4684"/>
      <c r="H10" s="4684"/>
    </row>
    <row r="11" spans="1:11" ht="12" customHeight="1">
      <c r="C11" s="431" t="s">
        <v>3374</v>
      </c>
      <c r="E11" s="4684"/>
      <c r="F11" s="4684"/>
      <c r="G11" s="4684"/>
      <c r="H11" s="4684"/>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Pateville Estates</v>
      </c>
    </row>
    <row r="16" spans="1:11" ht="12" customHeight="1">
      <c r="C16" s="431" t="s">
        <v>2735</v>
      </c>
      <c r="E16" s="4684"/>
      <c r="F16" s="4684"/>
      <c r="G16" s="4684"/>
      <c r="H16" s="4684"/>
    </row>
    <row r="17" spans="1:8" ht="12" customHeight="1">
      <c r="E17" s="437" t="str">
        <f>'Part I-Project Identification'!F27</f>
        <v>Cordele</v>
      </c>
      <c r="F17" s="598" t="s">
        <v>790</v>
      </c>
      <c r="G17" s="4685" t="s">
        <v>4641</v>
      </c>
      <c r="H17" s="4685"/>
    </row>
    <row r="18" spans="1:8" ht="12" customHeight="1">
      <c r="E18" s="608" t="str">
        <f>'Part I-Project Identification'!J27</f>
        <v>Crisp</v>
      </c>
    </row>
    <row r="19" spans="1:8" ht="3" customHeight="1"/>
    <row r="20" spans="1:8" ht="12" customHeight="1">
      <c r="A20" s="431">
        <v>4</v>
      </c>
      <c r="C20" s="431" t="s">
        <v>2736</v>
      </c>
      <c r="E20" s="4684"/>
      <c r="F20" s="4684"/>
      <c r="G20" s="4684"/>
      <c r="H20" s="4684"/>
    </row>
    <row r="21" spans="1:8" ht="12" customHeight="1">
      <c r="C21" s="431" t="s">
        <v>2737</v>
      </c>
      <c r="E21" s="4684"/>
      <c r="F21" s="4684"/>
      <c r="G21" s="4684"/>
      <c r="H21" s="4684"/>
    </row>
    <row r="22" spans="1:8" ht="12" customHeight="1">
      <c r="E22" s="4684"/>
      <c r="F22" s="4684"/>
      <c r="G22" s="4684"/>
      <c r="H22" s="4684"/>
    </row>
    <row r="23" spans="1:8" ht="12" customHeight="1">
      <c r="C23" s="431" t="s">
        <v>3370</v>
      </c>
      <c r="E23" s="1900"/>
    </row>
    <row r="24" spans="1:8" ht="12" customHeight="1">
      <c r="C24" s="431" t="s">
        <v>3373</v>
      </c>
      <c r="E24" s="1900"/>
    </row>
    <row r="25" spans="1:8" ht="12" customHeight="1">
      <c r="C25" s="431" t="s">
        <v>3374</v>
      </c>
      <c r="E25" s="4684"/>
      <c r="F25" s="4684"/>
      <c r="G25" s="4684"/>
      <c r="H25" s="4684"/>
    </row>
    <row r="26" spans="1:8" ht="3" customHeight="1">
      <c r="E26" s="608"/>
    </row>
    <row r="27" spans="1:8" ht="12" customHeight="1">
      <c r="A27" s="431">
        <v>5</v>
      </c>
      <c r="C27" s="431" t="s">
        <v>2738</v>
      </c>
      <c r="E27" s="608" t="str">
        <f>'Sensitivity Analysis'!$H$7</f>
        <v>Acquisition/Rehabilitation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12165067</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216</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4"/>
      <c r="F48" s="4684"/>
      <c r="G48" s="4684"/>
      <c r="H48" s="4684"/>
    </row>
    <row r="49" spans="1:8" ht="3" customHeight="1">
      <c r="E49" s="608"/>
    </row>
    <row r="50" spans="1:8" ht="12" customHeight="1">
      <c r="A50" s="431">
        <v>15</v>
      </c>
      <c r="C50" s="431" t="s">
        <v>3376</v>
      </c>
      <c r="E50" s="4684"/>
      <c r="F50" s="4684"/>
      <c r="G50" s="4684"/>
      <c r="H50" s="4684"/>
    </row>
    <row r="51" spans="1:8" ht="12" customHeight="1">
      <c r="C51" s="431" t="s">
        <v>2754</v>
      </c>
      <c r="E51" s="4684"/>
      <c r="F51" s="4684"/>
      <c r="G51" s="4684"/>
      <c r="H51" s="4684"/>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2614007.1015753481</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300332</v>
      </c>
    </row>
    <row r="75" spans="1:7" ht="3" customHeight="1">
      <c r="F75" s="1017"/>
    </row>
    <row r="76" spans="1:7" ht="12" customHeight="1">
      <c r="A76" s="431">
        <v>26</v>
      </c>
      <c r="C76" s="431" t="s">
        <v>2766</v>
      </c>
      <c r="F76" s="1017">
        <f>'Part III-A-Uses of Funds'!$G$132</f>
        <v>35720</v>
      </c>
    </row>
    <row r="77" spans="1:7" ht="3" customHeight="1">
      <c r="F77" s="1017"/>
    </row>
    <row r="78" spans="1:7" ht="12" customHeight="1">
      <c r="A78" s="431">
        <v>27</v>
      </c>
      <c r="C78" s="431" t="s">
        <v>2767</v>
      </c>
      <c r="F78" s="1017">
        <f>'Part III-A-Uses of Funds'!$G$130</f>
        <v>86991</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2893</v>
      </c>
      <c r="B1" s="4689"/>
      <c r="C1" s="4689"/>
      <c r="D1" s="4689"/>
      <c r="E1" s="4689"/>
      <c r="F1" s="4689"/>
      <c r="G1" s="4689"/>
      <c r="H1" s="4689"/>
      <c r="I1" s="4689"/>
      <c r="J1" s="4689"/>
    </row>
    <row r="2" spans="1:13" ht="15">
      <c r="A2" s="4689" t="str">
        <f>'Sensitivity Analysis'!E8&amp;"  "&amp;'Sensitivity Analysis'!C8</f>
        <v>2024-0  Pateville Estates</v>
      </c>
      <c r="B2" s="4689"/>
      <c r="C2" s="4689"/>
      <c r="D2" s="4689"/>
      <c r="E2" s="4689"/>
      <c r="F2" s="4689"/>
      <c r="G2" s="4689"/>
      <c r="H2" s="4689"/>
      <c r="I2" s="4689"/>
      <c r="J2" s="4689"/>
    </row>
    <row r="3" spans="1:13" ht="6" customHeight="1">
      <c r="K3" s="4683" t="s">
        <v>3369</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8"/>
      <c r="E13" s="4688"/>
      <c r="F13" s="4688"/>
      <c r="G13" s="4688"/>
      <c r="H13" s="4688"/>
      <c r="I13" s="4688"/>
      <c r="J13" s="4688"/>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Pateville Estates</v>
      </c>
      <c r="I28" s="549"/>
    </row>
    <row r="29" spans="1:9" ht="3" customHeight="1">
      <c r="C29" s="602"/>
      <c r="I29" s="549"/>
    </row>
    <row r="30" spans="1:9" ht="12" customHeight="1">
      <c r="A30" s="431" t="s">
        <v>2782</v>
      </c>
      <c r="C30" s="602">
        <f>'Preview term'!E16</f>
        <v>0</v>
      </c>
      <c r="I30" s="549"/>
    </row>
    <row r="31" spans="1:9">
      <c r="C31" s="549" t="str">
        <f>'Preview term'!E17</f>
        <v>Cordele</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4063</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2789</v>
      </c>
      <c r="C42" s="4690" t="s">
        <v>3024</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2790</v>
      </c>
      <c r="C44" s="503" t="str">
        <f>'Part I-Project Identification'!J27</f>
        <v>Crisp</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2794</v>
      </c>
      <c r="B53" s="605"/>
      <c r="C53" s="607" t="s">
        <v>2795</v>
      </c>
      <c r="D53" s="607" t="s">
        <v>3025</v>
      </c>
      <c r="E53" s="4693"/>
      <c r="F53" s="4693"/>
      <c r="G53" s="4693"/>
      <c r="H53" s="4693"/>
      <c r="I53" s="4693"/>
      <c r="J53" s="4693"/>
    </row>
    <row r="54" spans="1:10" ht="12" customHeight="1">
      <c r="A54" s="605"/>
      <c r="B54" s="605"/>
      <c r="C54" s="605"/>
      <c r="D54" s="607" t="s">
        <v>3026</v>
      </c>
      <c r="E54" s="4694"/>
      <c r="F54" s="4694"/>
      <c r="G54" s="4694"/>
      <c r="H54" s="4694"/>
      <c r="I54" s="4694"/>
      <c r="J54" s="4694"/>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12165067</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8"/>
      <c r="E69" s="4688"/>
      <c r="F69" s="4688"/>
      <c r="G69" s="4688"/>
      <c r="H69" s="4688"/>
      <c r="I69" s="4688"/>
      <c r="J69" s="4688"/>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216</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2614007.1015753481</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Sterling Bank</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6"/>
      <c r="E107" s="4696"/>
      <c r="F107" s="4696"/>
      <c r="G107" s="4696"/>
      <c r="H107" s="4696"/>
      <c r="I107" s="4696"/>
      <c r="J107" s="4697"/>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7" t="s">
        <v>4067</v>
      </c>
      <c r="F120" s="4687"/>
      <c r="G120" s="4687"/>
      <c r="H120" s="4687"/>
      <c r="I120" s="4687"/>
      <c r="J120" s="4687"/>
    </row>
    <row r="121" spans="1:10" ht="12" customHeight="1">
      <c r="C121" s="549" t="s">
        <v>2833</v>
      </c>
      <c r="D121" s="980"/>
      <c r="E121" s="4687"/>
      <c r="F121" s="4687"/>
      <c r="G121" s="4687"/>
      <c r="H121" s="4687"/>
      <c r="I121" s="4687"/>
      <c r="J121" s="4687"/>
    </row>
    <row r="122" spans="1:10" ht="12" customHeight="1">
      <c r="C122" s="549" t="s">
        <v>2834</v>
      </c>
      <c r="D122" s="980"/>
      <c r="E122" s="4687"/>
      <c r="F122" s="4687"/>
      <c r="G122" s="4687"/>
      <c r="H122" s="4687"/>
      <c r="I122" s="4687"/>
      <c r="J122" s="4687"/>
    </row>
    <row r="123" spans="1:10" ht="12" customHeight="1">
      <c r="C123" s="549" t="s">
        <v>2834</v>
      </c>
      <c r="D123" s="980"/>
      <c r="E123" s="4687"/>
      <c r="F123" s="4687"/>
      <c r="G123" s="4687"/>
      <c r="H123" s="4687"/>
      <c r="I123" s="4687"/>
      <c r="J123" s="4687"/>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925339</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8"/>
      <c r="F166" s="4688"/>
      <c r="G166" s="4688"/>
      <c r="I166" s="549"/>
    </row>
    <row r="167" spans="1:9" ht="3" customHeight="1">
      <c r="E167" s="549"/>
      <c r="G167" s="549"/>
      <c r="I167" s="549"/>
    </row>
    <row r="168" spans="1:9" ht="12" customHeight="1">
      <c r="A168" s="431" t="s">
        <v>2857</v>
      </c>
      <c r="C168" s="431" t="s">
        <v>2858</v>
      </c>
      <c r="E168" s="620">
        <f>'Preview term'!F74</f>
        <v>300332</v>
      </c>
      <c r="G168" s="549"/>
      <c r="I168" s="549"/>
    </row>
    <row r="169" spans="1:9" ht="12" customHeight="1">
      <c r="C169" s="431" t="s">
        <v>3031</v>
      </c>
      <c r="E169" s="4688"/>
      <c r="F169" s="4688"/>
      <c r="G169" s="4688"/>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35720</v>
      </c>
      <c r="G172" s="549"/>
      <c r="I172" s="549"/>
    </row>
    <row r="173" spans="1:9" ht="12" customHeight="1">
      <c r="C173" s="431" t="s">
        <v>2860</v>
      </c>
      <c r="E173" s="620">
        <f>'Preview term'!F76</f>
        <v>35720</v>
      </c>
      <c r="G173" s="549"/>
      <c r="I173" s="549"/>
    </row>
    <row r="174" spans="1:9" ht="12" customHeight="1">
      <c r="C174" s="431" t="s">
        <v>2861</v>
      </c>
      <c r="E174" s="620">
        <f>'Part V-Revenues &amp; Expenses'!Q238</f>
        <v>35720</v>
      </c>
      <c r="F174" s="549" t="s">
        <v>2862</v>
      </c>
    </row>
    <row r="175" spans="1:9">
      <c r="E175" s="620">
        <f>E174/12</f>
        <v>2976.6666666666665</v>
      </c>
      <c r="F175" s="549" t="s">
        <v>2728</v>
      </c>
    </row>
    <row r="176" spans="1:9" ht="12" customHeight="1">
      <c r="C176" s="431" t="s">
        <v>3032</v>
      </c>
      <c r="E176" s="4688"/>
      <c r="F176" s="4688"/>
      <c r="G176" s="4688"/>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8"/>
      <c r="G181" s="4688"/>
      <c r="H181" s="4688"/>
      <c r="I181" s="4688"/>
      <c r="J181" s="4688"/>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86991</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86">
        <f>'Part VII-Threshold Criteria OLD'!E372</f>
        <v>0</v>
      </c>
      <c r="G199" s="4686"/>
      <c r="H199" s="4686"/>
      <c r="I199" s="4686"/>
      <c r="J199" s="4686"/>
    </row>
    <row r="200" spans="1:10" ht="9" customHeight="1">
      <c r="G200" s="549"/>
      <c r="H200" s="549"/>
      <c r="I200" s="549"/>
    </row>
    <row r="201" spans="1:10" ht="12" customHeight="1">
      <c r="A201" s="622" t="s">
        <v>2894</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4054</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4057</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Pateville Estates</v>
      </c>
      <c r="E3" s="4078"/>
      <c r="F3" s="4078"/>
      <c r="G3" s="4078"/>
      <c r="H3" s="4078"/>
      <c r="I3" s="4078"/>
      <c r="J3" s="4727" t="s">
        <v>3842</v>
      </c>
      <c r="K3" s="4728"/>
    </row>
    <row r="4" spans="1:11" ht="15" customHeight="1">
      <c r="A4" s="1269" t="s">
        <v>3840</v>
      </c>
      <c r="B4" s="1270"/>
      <c r="C4" s="1271"/>
      <c r="D4" s="4723">
        <f>'Preview term'!$E$16</f>
        <v>0</v>
      </c>
      <c r="E4" s="4724"/>
      <c r="F4" s="4724"/>
      <c r="G4" s="4724"/>
      <c r="H4" s="4724"/>
      <c r="I4" s="4724"/>
      <c r="J4" s="4083" t="s">
        <v>3881</v>
      </c>
      <c r="K4" s="4084"/>
    </row>
    <row r="5" spans="1:11" ht="15" customHeight="1" thickBot="1">
      <c r="A5" s="1272" t="s">
        <v>3841</v>
      </c>
      <c r="B5" s="1273"/>
      <c r="C5" s="1274"/>
      <c r="D5" s="4725"/>
      <c r="E5" s="4726"/>
      <c r="F5" s="4726"/>
      <c r="G5" s="4726"/>
      <c r="H5" s="4726"/>
      <c r="I5" s="4726"/>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302">
        <v>1</v>
      </c>
      <c r="D8" s="1289" t="s">
        <v>3844</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302">
        <v>2</v>
      </c>
      <c r="D11" s="1289" t="s">
        <v>3846</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303">
        <v>3</v>
      </c>
      <c r="D14" s="1293" t="s">
        <v>3848</v>
      </c>
      <c r="E14" s="1293"/>
      <c r="F14" s="1293"/>
      <c r="G14" s="1293"/>
      <c r="H14" s="1293"/>
      <c r="I14" s="1293"/>
      <c r="J14" s="4700"/>
      <c r="K14" s="4701"/>
    </row>
    <row r="15" spans="1:11" ht="14.25" customHeight="1">
      <c r="A15" s="1270"/>
      <c r="B15" s="1270"/>
      <c r="C15" s="1304">
        <v>4</v>
      </c>
      <c r="D15" s="1270" t="s">
        <v>3849</v>
      </c>
      <c r="E15" s="1270"/>
      <c r="F15" s="1270"/>
      <c r="G15" s="1270"/>
      <c r="H15" s="1270"/>
      <c r="I15" s="1270"/>
      <c r="J15" s="4698"/>
      <c r="K15" s="4699"/>
    </row>
    <row r="16" spans="1:11" ht="14.25" customHeight="1">
      <c r="A16" s="1270"/>
      <c r="B16" s="1270"/>
      <c r="C16" s="1304">
        <v>5</v>
      </c>
      <c r="D16" s="1270" t="s">
        <v>3850</v>
      </c>
      <c r="E16" s="1270"/>
      <c r="F16" s="1270"/>
      <c r="G16" s="1270"/>
      <c r="H16" s="1270"/>
      <c r="I16" s="1270"/>
      <c r="J16" s="4698"/>
      <c r="K16" s="4699"/>
    </row>
    <row r="17" spans="1:13" ht="14.25" customHeight="1">
      <c r="A17" s="1270"/>
      <c r="B17" s="1270"/>
      <c r="C17" s="1305">
        <v>6</v>
      </c>
      <c r="D17" s="1273" t="s">
        <v>3851</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3852</v>
      </c>
      <c r="E19" s="1293"/>
      <c r="F19" s="1293"/>
      <c r="G19" s="1293"/>
      <c r="H19" s="1293"/>
      <c r="I19" s="1293"/>
      <c r="J19" s="4089" t="str">
        <f>IF(J17="No",J14-J15,IF(J17="Yes",J14-J15-J16,"Error"))</f>
        <v>Error</v>
      </c>
      <c r="K19" s="4090"/>
    </row>
    <row r="20" spans="1:13" ht="14.25" customHeight="1">
      <c r="A20" s="1270"/>
      <c r="B20" s="1270"/>
      <c r="C20" s="130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712" t="s">
        <v>3842</v>
      </c>
      <c r="C31" s="4712"/>
      <c r="D31" s="4712"/>
      <c r="E31" s="4712"/>
      <c r="F31" s="4712"/>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717" t="s">
        <v>3868</v>
      </c>
      <c r="H57" s="4718"/>
      <c r="I57" s="4034" t="s">
        <v>3882</v>
      </c>
      <c r="J57" s="4035"/>
      <c r="K57" s="4038"/>
    </row>
    <row r="58" spans="1:13" ht="15" customHeight="1">
      <c r="A58" s="1388"/>
      <c r="B58" s="1318"/>
      <c r="C58" s="1296">
        <f>SUMIF(C33:C51, "0", H33:H51)</f>
        <v>0</v>
      </c>
      <c r="D58" s="1399">
        <f t="shared" ref="D58:D63" si="4">ROUNDUP(C58*1.1,0)</f>
        <v>0</v>
      </c>
      <c r="E58" s="4040" t="s">
        <v>3869</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2455</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2456</v>
      </c>
      <c r="F60" s="4020"/>
      <c r="G60" s="4715" t="e">
        <f>#REF!</f>
        <v>#REF!</v>
      </c>
      <c r="H60" s="4716"/>
      <c r="I60" s="4023" t="e">
        <f t="shared" si="5"/>
        <v>#REF!</v>
      </c>
      <c r="J60" s="4023"/>
      <c r="K60" s="4039"/>
    </row>
    <row r="61" spans="1:13">
      <c r="A61" s="1388"/>
      <c r="B61" s="1318"/>
      <c r="C61" s="1297">
        <f>SUMIF(C33:C51, "3", H33:H51)</f>
        <v>0</v>
      </c>
      <c r="D61" s="1400">
        <f t="shared" si="4"/>
        <v>0</v>
      </c>
      <c r="E61" s="4019" t="s">
        <v>2459</v>
      </c>
      <c r="F61" s="4020"/>
      <c r="G61" s="4715" t="e">
        <f>#REF!</f>
        <v>#REF!</v>
      </c>
      <c r="H61" s="4716"/>
      <c r="I61" s="4023" t="e">
        <f t="shared" si="5"/>
        <v>#REF!</v>
      </c>
      <c r="J61" s="4023"/>
      <c r="K61" s="4039"/>
    </row>
    <row r="62" spans="1:13">
      <c r="A62" s="1388"/>
      <c r="B62" s="1318"/>
      <c r="C62" s="1297">
        <f>SUMIF(C33:C51, "4", H33:H51)</f>
        <v>0</v>
      </c>
      <c r="D62" s="1400">
        <f t="shared" si="4"/>
        <v>0</v>
      </c>
      <c r="E62" s="4019" t="s">
        <v>3870</v>
      </c>
      <c r="F62" s="4020"/>
      <c r="G62" s="4715" t="e">
        <f>#REF!</f>
        <v>#REF!</v>
      </c>
      <c r="H62" s="4716"/>
      <c r="I62" s="4023" t="e">
        <f t="shared" si="5"/>
        <v>#REF!</v>
      </c>
      <c r="J62" s="4023"/>
      <c r="K62" s="4039"/>
    </row>
    <row r="63" spans="1:13">
      <c r="A63" s="1397"/>
      <c r="B63" s="1319"/>
      <c r="C63" s="1298">
        <f>SUMIF(C33:C51, "5", H33:H51)</f>
        <v>0</v>
      </c>
      <c r="D63" s="1401">
        <f t="shared" si="4"/>
        <v>0</v>
      </c>
      <c r="E63" s="4024" t="s">
        <v>3871</v>
      </c>
      <c r="F63" s="4025"/>
      <c r="G63" s="4713" t="e">
        <f>#REF!</f>
        <v>#REF!</v>
      </c>
      <c r="H63" s="4714"/>
      <c r="I63" s="4026" t="e">
        <f t="shared" si="5"/>
        <v>#REF!</v>
      </c>
      <c r="J63" s="4026"/>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Pateville Estates</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58414.788</v>
      </c>
      <c r="K4" s="990" t="s">
        <v>3543</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3" t="s">
        <v>2908</v>
      </c>
      <c r="C11" s="4733"/>
      <c r="D11" s="4733"/>
      <c r="E11" s="4733"/>
      <c r="F11" s="4733"/>
      <c r="G11" s="4734">
        <f>'Part II-Sources of Funds'!I51+'Part II-Sources of Funds'!I52</f>
        <v>13739084</v>
      </c>
      <c r="H11" s="4734"/>
    </row>
    <row r="12" spans="1:11" ht="1.5" customHeight="1">
      <c r="G12" s="605"/>
      <c r="H12" s="605"/>
    </row>
    <row r="13" spans="1:11" ht="26.25" customHeight="1">
      <c r="A13" s="624" t="s">
        <v>1838</v>
      </c>
      <c r="B13" s="4733" t="s">
        <v>2909</v>
      </c>
      <c r="C13" s="4733"/>
      <c r="D13" s="4733"/>
      <c r="E13" s="4733"/>
      <c r="F13" s="4733"/>
      <c r="G13" s="4735" t="s">
        <v>2804</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2912</v>
      </c>
      <c r="G16" s="4736" t="s">
        <v>2644</v>
      </c>
      <c r="H16" s="4736"/>
    </row>
    <row r="17" spans="1:8" ht="1.5" customHeight="1">
      <c r="G17" s="608"/>
    </row>
    <row r="18" spans="1:8" ht="12" customHeight="1">
      <c r="A18" s="624" t="s">
        <v>1957</v>
      </c>
      <c r="B18" s="605" t="s">
        <v>2910</v>
      </c>
      <c r="C18" s="624"/>
      <c r="D18" s="624"/>
      <c r="E18" s="624"/>
      <c r="G18" s="4690" t="s">
        <v>2507</v>
      </c>
      <c r="H18" s="4690"/>
    </row>
    <row r="19" spans="1:8" ht="12" hidden="1" customHeight="1">
      <c r="B19" s="4690"/>
      <c r="C19" s="4690"/>
      <c r="D19" s="4690"/>
      <c r="E19" s="4690"/>
      <c r="F19" s="4690"/>
      <c r="G19" s="4690"/>
      <c r="H19" s="4690"/>
    </row>
    <row r="20" spans="1:8" ht="13.5" customHeight="1"/>
    <row r="21" spans="1:8" ht="12" customHeight="1">
      <c r="A21" s="549" t="s">
        <v>2877</v>
      </c>
    </row>
    <row r="22" spans="1:8" ht="3" customHeight="1"/>
    <row r="23" spans="1:8" ht="24.75" customHeight="1">
      <c r="A23" s="4737" t="s">
        <v>3950</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3955</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3948</v>
      </c>
      <c r="D29" s="626" t="s">
        <v>3949</v>
      </c>
    </row>
    <row r="30" spans="1:8" ht="1.9"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3953</v>
      </c>
      <c r="E33" s="4729" t="s">
        <v>3037</v>
      </c>
      <c r="F33" s="4729"/>
      <c r="G33" s="4729"/>
      <c r="H33" s="4729"/>
    </row>
    <row r="34" spans="1:11" ht="12.75" customHeight="1">
      <c r="C34" s="1386"/>
      <c r="D34" s="1384" t="s">
        <v>2917</v>
      </c>
      <c r="E34" s="4732" t="s">
        <v>3038</v>
      </c>
      <c r="F34" s="4732"/>
      <c r="G34" s="4732"/>
      <c r="H34" s="4732"/>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3953</v>
      </c>
      <c r="E38" s="4729" t="s">
        <v>3037</v>
      </c>
      <c r="F38" s="4729"/>
      <c r="G38" s="4729"/>
      <c r="H38" s="4729"/>
    </row>
    <row r="39" spans="1:11" ht="12.75" customHeight="1">
      <c r="C39" s="1386"/>
      <c r="D39" s="1384" t="s">
        <v>2917</v>
      </c>
      <c r="E39" s="4732" t="s">
        <v>3038</v>
      </c>
      <c r="F39" s="4732"/>
      <c r="G39" s="4732"/>
      <c r="H39" s="4732"/>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3953</v>
      </c>
      <c r="E43" s="4729" t="s">
        <v>3037</v>
      </c>
      <c r="F43" s="4729"/>
      <c r="G43" s="4729"/>
      <c r="H43" s="4729"/>
    </row>
    <row r="44" spans="1:11" ht="12.75" customHeight="1">
      <c r="C44" s="1386"/>
      <c r="D44" s="1384" t="s">
        <v>2917</v>
      </c>
      <c r="E44" s="4732" t="s">
        <v>3038</v>
      </c>
      <c r="F44" s="4732"/>
      <c r="G44" s="4732"/>
      <c r="H44" s="4732"/>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3953</v>
      </c>
      <c r="E50" s="4729" t="s">
        <v>3037</v>
      </c>
      <c r="F50" s="4729"/>
      <c r="G50" s="4729"/>
      <c r="H50" s="4729"/>
    </row>
    <row r="51" spans="1:11" ht="12.75" customHeight="1">
      <c r="C51" s="1386"/>
      <c r="D51" s="630" t="s">
        <v>2917</v>
      </c>
      <c r="E51" s="4729" t="s">
        <v>3038</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3953</v>
      </c>
      <c r="E55" s="4729" t="s">
        <v>3037</v>
      </c>
      <c r="F55" s="4729"/>
      <c r="G55" s="4729"/>
      <c r="H55" s="4729"/>
    </row>
    <row r="56" spans="1:11" ht="12.75" customHeight="1">
      <c r="C56" s="1386"/>
      <c r="D56" s="1384" t="s">
        <v>2917</v>
      </c>
      <c r="E56" s="4732" t="s">
        <v>3038</v>
      </c>
      <c r="F56" s="4732"/>
      <c r="G56" s="4732"/>
      <c r="H56" s="4732"/>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3953</v>
      </c>
      <c r="E60" s="4729" t="s">
        <v>3037</v>
      </c>
      <c r="F60" s="4729"/>
      <c r="G60" s="4729"/>
      <c r="H60" s="4729"/>
    </row>
    <row r="61" spans="1:11" ht="12.75" customHeight="1">
      <c r="C61" s="1386"/>
      <c r="D61" s="1384" t="s">
        <v>2917</v>
      </c>
      <c r="E61" s="4732" t="s">
        <v>3038</v>
      </c>
      <c r="F61" s="4732"/>
      <c r="G61" s="4732"/>
      <c r="H61" s="4732"/>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3953</v>
      </c>
      <c r="E67" s="4729" t="s">
        <v>3037</v>
      </c>
      <c r="F67" s="4729"/>
      <c r="G67" s="4729"/>
      <c r="H67" s="4729"/>
    </row>
    <row r="68" spans="1:8" ht="12.75" customHeight="1">
      <c r="C68" s="1386"/>
      <c r="D68" s="630" t="s">
        <v>2917</v>
      </c>
      <c r="E68" s="4729" t="s">
        <v>3038</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3953</v>
      </c>
      <c r="E72" s="4729" t="s">
        <v>3037</v>
      </c>
      <c r="F72" s="4729"/>
      <c r="G72" s="4729"/>
      <c r="H72" s="4729"/>
    </row>
    <row r="73" spans="1:8" ht="12.75" customHeight="1">
      <c r="C73" s="1386"/>
      <c r="D73" s="1384" t="s">
        <v>2917</v>
      </c>
      <c r="E73" s="4732" t="s">
        <v>3038</v>
      </c>
      <c r="F73" s="4732"/>
      <c r="G73" s="4732"/>
      <c r="H73" s="4732"/>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3953</v>
      </c>
      <c r="E77" s="4729" t="s">
        <v>3037</v>
      </c>
      <c r="F77" s="4729"/>
      <c r="G77" s="4729"/>
      <c r="H77" s="4729"/>
    </row>
    <row r="78" spans="1:8" ht="12.75" customHeight="1">
      <c r="C78" s="1386"/>
      <c r="D78" s="1384" t="s">
        <v>2917</v>
      </c>
      <c r="E78" s="4732" t="s">
        <v>3038</v>
      </c>
      <c r="F78" s="4732"/>
      <c r="G78" s="4732"/>
      <c r="H78" s="4732"/>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3953</v>
      </c>
      <c r="E84" s="4729" t="s">
        <v>3037</v>
      </c>
      <c r="F84" s="4729"/>
      <c r="G84" s="4729"/>
      <c r="H84" s="4729"/>
    </row>
    <row r="85" spans="3:8" ht="12.75" customHeight="1">
      <c r="C85" s="1386"/>
      <c r="D85" s="630" t="s">
        <v>2917</v>
      </c>
      <c r="E85" s="4729" t="s">
        <v>3038</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3953</v>
      </c>
      <c r="E89" s="4729" t="s">
        <v>3037</v>
      </c>
      <c r="F89" s="4729"/>
      <c r="G89" s="4729"/>
      <c r="H89" s="4729"/>
    </row>
    <row r="90" spans="3:8" ht="12.75" customHeight="1">
      <c r="C90" s="1386"/>
      <c r="D90" s="1384" t="s">
        <v>2917</v>
      </c>
      <c r="E90" s="4732" t="s">
        <v>3038</v>
      </c>
      <c r="F90" s="4732"/>
      <c r="G90" s="4732"/>
      <c r="H90" s="4732"/>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3953</v>
      </c>
      <c r="E94" s="4729" t="s">
        <v>3037</v>
      </c>
      <c r="F94" s="4729"/>
      <c r="G94" s="4729"/>
      <c r="H94" s="4729"/>
    </row>
    <row r="95" spans="3:8" ht="12.75" customHeight="1">
      <c r="C95" s="1386"/>
      <c r="D95" s="1384" t="s">
        <v>2917</v>
      </c>
      <c r="E95" s="4732" t="s">
        <v>3038</v>
      </c>
      <c r="F95" s="4732"/>
      <c r="G95" s="4732"/>
      <c r="H95" s="4732"/>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3037</v>
      </c>
      <c r="F101" s="4729"/>
      <c r="G101" s="4729"/>
      <c r="H101" s="4729"/>
    </row>
    <row r="102" spans="1:11" ht="12.75" customHeight="1">
      <c r="D102" s="630" t="s">
        <v>2917</v>
      </c>
      <c r="E102" s="4729" t="s">
        <v>3038</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3956</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3948</v>
      </c>
      <c r="D108" s="626" t="s">
        <v>3949</v>
      </c>
    </row>
    <row r="109" spans="1:11" ht="1.9"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3953</v>
      </c>
      <c r="E112" s="4729" t="s">
        <v>3037</v>
      </c>
      <c r="F112" s="4729"/>
      <c r="G112" s="4729"/>
      <c r="H112" s="4729"/>
    </row>
    <row r="113" spans="1:8" ht="12.75" customHeight="1">
      <c r="C113" s="1386"/>
      <c r="D113" s="1384" t="s">
        <v>2917</v>
      </c>
      <c r="E113" s="4732" t="s">
        <v>3038</v>
      </c>
      <c r="F113" s="4732"/>
      <c r="G113" s="4732"/>
      <c r="H113" s="4732"/>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3953</v>
      </c>
      <c r="E117" s="4729" t="s">
        <v>3037</v>
      </c>
      <c r="F117" s="4729"/>
      <c r="G117" s="4729"/>
      <c r="H117" s="4729"/>
    </row>
    <row r="118" spans="1:8" ht="12.75" customHeight="1">
      <c r="C118" s="1386"/>
      <c r="D118" s="1384" t="s">
        <v>2917</v>
      </c>
      <c r="E118" s="4732" t="s">
        <v>3038</v>
      </c>
      <c r="F118" s="4732"/>
      <c r="G118" s="4732"/>
      <c r="H118" s="4732"/>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3953</v>
      </c>
      <c r="E122" s="4729" t="s">
        <v>3037</v>
      </c>
      <c r="F122" s="4729"/>
      <c r="G122" s="4729"/>
      <c r="H122" s="4729"/>
    </row>
    <row r="123" spans="1:8" ht="12.75" customHeight="1">
      <c r="C123" s="1386"/>
      <c r="D123" s="1384" t="s">
        <v>2917</v>
      </c>
      <c r="E123" s="4732" t="s">
        <v>3038</v>
      </c>
      <c r="F123" s="4732"/>
      <c r="G123" s="4732"/>
      <c r="H123" s="4732"/>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3953</v>
      </c>
      <c r="E129" s="4729" t="s">
        <v>3037</v>
      </c>
      <c r="F129" s="4729"/>
      <c r="G129" s="4729"/>
      <c r="H129" s="4729"/>
    </row>
    <row r="130" spans="1:8" ht="12.75" customHeight="1">
      <c r="C130" s="1386"/>
      <c r="D130" s="630" t="s">
        <v>2917</v>
      </c>
      <c r="E130" s="4729" t="s">
        <v>3038</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3953</v>
      </c>
      <c r="E134" s="4729" t="s">
        <v>3037</v>
      </c>
      <c r="F134" s="4729"/>
      <c r="G134" s="4729"/>
      <c r="H134" s="4729"/>
    </row>
    <row r="135" spans="1:8" ht="12.75" customHeight="1">
      <c r="C135" s="1386"/>
      <c r="D135" s="1384" t="s">
        <v>2917</v>
      </c>
      <c r="E135" s="4732" t="s">
        <v>3038</v>
      </c>
      <c r="F135" s="4732"/>
      <c r="G135" s="4732"/>
      <c r="H135" s="4732"/>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3953</v>
      </c>
      <c r="E139" s="4729" t="s">
        <v>3037</v>
      </c>
      <c r="F139" s="4729"/>
      <c r="G139" s="4729"/>
      <c r="H139" s="4729"/>
    </row>
    <row r="140" spans="1:8" ht="12.75" customHeight="1">
      <c r="C140" s="1386"/>
      <c r="D140" s="1384" t="s">
        <v>2917</v>
      </c>
      <c r="E140" s="4732" t="s">
        <v>3038</v>
      </c>
      <c r="F140" s="4732"/>
      <c r="G140" s="4732"/>
      <c r="H140" s="4732"/>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3953</v>
      </c>
      <c r="E146" s="4729" t="s">
        <v>3037</v>
      </c>
      <c r="F146" s="4729"/>
      <c r="G146" s="4729"/>
      <c r="H146" s="4729"/>
    </row>
    <row r="147" spans="1:8" ht="12.75" customHeight="1">
      <c r="C147" s="1386"/>
      <c r="D147" s="630" t="s">
        <v>2917</v>
      </c>
      <c r="E147" s="4729" t="s">
        <v>3038</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3953</v>
      </c>
      <c r="E151" s="4729" t="s">
        <v>3037</v>
      </c>
      <c r="F151" s="4729"/>
      <c r="G151" s="4729"/>
      <c r="H151" s="4729"/>
    </row>
    <row r="152" spans="1:8" ht="12.75" customHeight="1">
      <c r="C152" s="1386"/>
      <c r="D152" s="1384" t="s">
        <v>2917</v>
      </c>
      <c r="E152" s="4732" t="s">
        <v>3038</v>
      </c>
      <c r="F152" s="4732"/>
      <c r="G152" s="4732"/>
      <c r="H152" s="4732"/>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3953</v>
      </c>
      <c r="E156" s="4729" t="s">
        <v>3037</v>
      </c>
      <c r="F156" s="4729"/>
      <c r="G156" s="4729"/>
      <c r="H156" s="4729"/>
    </row>
    <row r="157" spans="1:8" ht="12.75" customHeight="1">
      <c r="C157" s="1386"/>
      <c r="D157" s="1384" t="s">
        <v>2917</v>
      </c>
      <c r="E157" s="4732" t="s">
        <v>3038</v>
      </c>
      <c r="F157" s="4732"/>
      <c r="G157" s="4732"/>
      <c r="H157" s="4732"/>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3953</v>
      </c>
      <c r="E163" s="4729" t="s">
        <v>3037</v>
      </c>
      <c r="F163" s="4729"/>
      <c r="G163" s="4729"/>
      <c r="H163" s="4729"/>
    </row>
    <row r="164" spans="1:8" ht="12.75" customHeight="1">
      <c r="C164" s="1386"/>
      <c r="D164" s="630" t="s">
        <v>2917</v>
      </c>
      <c r="E164" s="4729" t="s">
        <v>3038</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3953</v>
      </c>
      <c r="E168" s="4729" t="s">
        <v>3037</v>
      </c>
      <c r="F168" s="4729"/>
      <c r="G168" s="4729"/>
      <c r="H168" s="4729"/>
    </row>
    <row r="169" spans="1:8" ht="12.75" customHeight="1">
      <c r="C169" s="1386"/>
      <c r="D169" s="1384" t="s">
        <v>2917</v>
      </c>
      <c r="E169" s="4732" t="s">
        <v>3038</v>
      </c>
      <c r="F169" s="4732"/>
      <c r="G169" s="4732"/>
      <c r="H169" s="4732"/>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3953</v>
      </c>
      <c r="E173" s="4729" t="s">
        <v>3037</v>
      </c>
      <c r="F173" s="4729"/>
      <c r="G173" s="4729"/>
      <c r="H173" s="4729"/>
    </row>
    <row r="174" spans="1:8" ht="12.75" customHeight="1">
      <c r="C174" s="1386"/>
      <c r="D174" s="1384" t="s">
        <v>2917</v>
      </c>
      <c r="E174" s="4732" t="s">
        <v>3038</v>
      </c>
      <c r="F174" s="4732"/>
      <c r="G174" s="4732"/>
      <c r="H174" s="4732"/>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3037</v>
      </c>
      <c r="F180" s="4729"/>
      <c r="G180" s="4729"/>
      <c r="H180" s="4729"/>
    </row>
    <row r="181" spans="1:11" ht="12.75" customHeight="1">
      <c r="D181" s="630" t="s">
        <v>2917</v>
      </c>
      <c r="E181" s="4729" t="s">
        <v>3038</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3957</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3948</v>
      </c>
      <c r="D187" s="626" t="s">
        <v>3949</v>
      </c>
    </row>
    <row r="188" spans="1:11" ht="1.9"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3953</v>
      </c>
      <c r="E191" s="4729" t="s">
        <v>3037</v>
      </c>
      <c r="F191" s="4729"/>
      <c r="G191" s="4729"/>
      <c r="H191" s="4729"/>
    </row>
    <row r="192" spans="1:11" ht="12.75" customHeight="1">
      <c r="C192" s="1386"/>
      <c r="D192" s="1384" t="s">
        <v>2917</v>
      </c>
      <c r="E192" s="4732" t="s">
        <v>3038</v>
      </c>
      <c r="F192" s="4732"/>
      <c r="G192" s="4732"/>
      <c r="H192" s="4732"/>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3953</v>
      </c>
      <c r="E196" s="4729" t="s">
        <v>3037</v>
      </c>
      <c r="F196" s="4729"/>
      <c r="G196" s="4729"/>
      <c r="H196" s="4729"/>
    </row>
    <row r="197" spans="1:8" ht="12.75" customHeight="1">
      <c r="C197" s="1386"/>
      <c r="D197" s="1384" t="s">
        <v>2917</v>
      </c>
      <c r="E197" s="4732" t="s">
        <v>3038</v>
      </c>
      <c r="F197" s="4732"/>
      <c r="G197" s="4732"/>
      <c r="H197" s="4732"/>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3953</v>
      </c>
      <c r="E201" s="4729" t="s">
        <v>3037</v>
      </c>
      <c r="F201" s="4729"/>
      <c r="G201" s="4729"/>
      <c r="H201" s="4729"/>
    </row>
    <row r="202" spans="1:8" ht="12.75" customHeight="1">
      <c r="C202" s="1386"/>
      <c r="D202" s="1384" t="s">
        <v>2917</v>
      </c>
      <c r="E202" s="4732" t="s">
        <v>3038</v>
      </c>
      <c r="F202" s="4732"/>
      <c r="G202" s="4732"/>
      <c r="H202" s="4732"/>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3953</v>
      </c>
      <c r="E208" s="4729" t="s">
        <v>3037</v>
      </c>
      <c r="F208" s="4729"/>
      <c r="G208" s="4729"/>
      <c r="H208" s="4729"/>
    </row>
    <row r="209" spans="1:8" ht="12.75" customHeight="1">
      <c r="C209" s="1386"/>
      <c r="D209" s="630" t="s">
        <v>2917</v>
      </c>
      <c r="E209" s="4729" t="s">
        <v>3038</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3953</v>
      </c>
      <c r="E213" s="4729" t="s">
        <v>3037</v>
      </c>
      <c r="F213" s="4729"/>
      <c r="G213" s="4729"/>
      <c r="H213" s="4729"/>
    </row>
    <row r="214" spans="1:8" ht="12.75" customHeight="1">
      <c r="C214" s="1386"/>
      <c r="D214" s="1384" t="s">
        <v>2917</v>
      </c>
      <c r="E214" s="4732" t="s">
        <v>3038</v>
      </c>
      <c r="F214" s="4732"/>
      <c r="G214" s="4732"/>
      <c r="H214" s="4732"/>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3953</v>
      </c>
      <c r="E218" s="4729" t="s">
        <v>3037</v>
      </c>
      <c r="F218" s="4729"/>
      <c r="G218" s="4729"/>
      <c r="H218" s="4729"/>
    </row>
    <row r="219" spans="1:8" ht="12.75" customHeight="1">
      <c r="C219" s="1386"/>
      <c r="D219" s="1384" t="s">
        <v>2917</v>
      </c>
      <c r="E219" s="4732" t="s">
        <v>3038</v>
      </c>
      <c r="F219" s="4732"/>
      <c r="G219" s="4732"/>
      <c r="H219" s="4732"/>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3953</v>
      </c>
      <c r="E225" s="4729" t="s">
        <v>3037</v>
      </c>
      <c r="F225" s="4729"/>
      <c r="G225" s="4729"/>
      <c r="H225" s="4729"/>
    </row>
    <row r="226" spans="1:8" ht="12.75" customHeight="1">
      <c r="C226" s="1386"/>
      <c r="D226" s="630" t="s">
        <v>2917</v>
      </c>
      <c r="E226" s="4729" t="s">
        <v>3038</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3953</v>
      </c>
      <c r="E230" s="4729" t="s">
        <v>3037</v>
      </c>
      <c r="F230" s="4729"/>
      <c r="G230" s="4729"/>
      <c r="H230" s="4729"/>
    </row>
    <row r="231" spans="1:8" ht="12.75" customHeight="1">
      <c r="C231" s="1386"/>
      <c r="D231" s="1384" t="s">
        <v>2917</v>
      </c>
      <c r="E231" s="4732" t="s">
        <v>3038</v>
      </c>
      <c r="F231" s="4732"/>
      <c r="G231" s="4732"/>
      <c r="H231" s="4732"/>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3953</v>
      </c>
      <c r="E235" s="4729" t="s">
        <v>3037</v>
      </c>
      <c r="F235" s="4729"/>
      <c r="G235" s="4729"/>
      <c r="H235" s="4729"/>
    </row>
    <row r="236" spans="1:8" ht="12.75" customHeight="1">
      <c r="C236" s="1386"/>
      <c r="D236" s="1384" t="s">
        <v>2917</v>
      </c>
      <c r="E236" s="4732" t="s">
        <v>3038</v>
      </c>
      <c r="F236" s="4732"/>
      <c r="G236" s="4732"/>
      <c r="H236" s="4732"/>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3953</v>
      </c>
      <c r="E242" s="4729" t="s">
        <v>3037</v>
      </c>
      <c r="F242" s="4729"/>
      <c r="G242" s="4729"/>
      <c r="H242" s="4729"/>
    </row>
    <row r="243" spans="1:8" ht="12.75" customHeight="1">
      <c r="C243" s="1386"/>
      <c r="D243" s="630" t="s">
        <v>2917</v>
      </c>
      <c r="E243" s="4729" t="s">
        <v>3038</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3953</v>
      </c>
      <c r="E247" s="4729" t="s">
        <v>3037</v>
      </c>
      <c r="F247" s="4729"/>
      <c r="G247" s="4729"/>
      <c r="H247" s="4729"/>
    </row>
    <row r="248" spans="1:8" ht="12.75" customHeight="1">
      <c r="C248" s="1386"/>
      <c r="D248" s="1384" t="s">
        <v>2917</v>
      </c>
      <c r="E248" s="4732" t="s">
        <v>3038</v>
      </c>
      <c r="F248" s="4732"/>
      <c r="G248" s="4732"/>
      <c r="H248" s="4732"/>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3953</v>
      </c>
      <c r="E252" s="4729" t="s">
        <v>3037</v>
      </c>
      <c r="F252" s="4729"/>
      <c r="G252" s="4729"/>
      <c r="H252" s="4729"/>
    </row>
    <row r="253" spans="1:8" ht="12.75" customHeight="1">
      <c r="C253" s="1386"/>
      <c r="D253" s="1384" t="s">
        <v>2917</v>
      </c>
      <c r="E253" s="4732" t="s">
        <v>3038</v>
      </c>
      <c r="F253" s="4732"/>
      <c r="G253" s="4732"/>
      <c r="H253" s="4732"/>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3037</v>
      </c>
      <c r="F259" s="4729"/>
      <c r="G259" s="4729"/>
      <c r="H259" s="4729"/>
    </row>
    <row r="260" spans="1:11" ht="12.75" customHeight="1">
      <c r="D260" s="630" t="s">
        <v>2917</v>
      </c>
      <c r="E260" s="4729" t="s">
        <v>3038</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3954</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3948</v>
      </c>
      <c r="D266" s="626" t="s">
        <v>3949</v>
      </c>
    </row>
    <row r="267" spans="1:11" ht="1.9"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3953</v>
      </c>
      <c r="E270" s="4729" t="s">
        <v>3037</v>
      </c>
      <c r="F270" s="4729"/>
      <c r="G270" s="4729"/>
      <c r="H270" s="4729"/>
    </row>
    <row r="271" spans="1:11" ht="12.75" customHeight="1">
      <c r="C271" s="1386"/>
      <c r="D271" s="1384" t="s">
        <v>2917</v>
      </c>
      <c r="E271" s="4732" t="s">
        <v>3038</v>
      </c>
      <c r="F271" s="4732"/>
      <c r="G271" s="4732"/>
      <c r="H271" s="4732"/>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3953</v>
      </c>
      <c r="E275" s="4729" t="s">
        <v>3037</v>
      </c>
      <c r="F275" s="4729"/>
      <c r="G275" s="4729"/>
      <c r="H275" s="4729"/>
    </row>
    <row r="276" spans="1:8" ht="12.75" customHeight="1">
      <c r="C276" s="1386"/>
      <c r="D276" s="1384" t="s">
        <v>2917</v>
      </c>
      <c r="E276" s="4732" t="s">
        <v>3038</v>
      </c>
      <c r="F276" s="4732"/>
      <c r="G276" s="4732"/>
      <c r="H276" s="4732"/>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3953</v>
      </c>
      <c r="E280" s="4729" t="s">
        <v>3037</v>
      </c>
      <c r="F280" s="4729"/>
      <c r="G280" s="4729"/>
      <c r="H280" s="4729"/>
    </row>
    <row r="281" spans="1:8" ht="12.75" customHeight="1">
      <c r="C281" s="1386"/>
      <c r="D281" s="1384" t="s">
        <v>2917</v>
      </c>
      <c r="E281" s="4732" t="s">
        <v>3038</v>
      </c>
      <c r="F281" s="4732"/>
      <c r="G281" s="4732"/>
      <c r="H281" s="4732"/>
    </row>
    <row r="282" spans="1:8" ht="6" customHeight="1">
      <c r="D282" s="627"/>
      <c r="E282" s="1004"/>
      <c r="F282" s="1004"/>
      <c r="G282" s="1004"/>
      <c r="H282" s="1004"/>
    </row>
    <row r="283" spans="1:8">
      <c r="A283" s="608" t="s">
        <v>2913</v>
      </c>
      <c r="B283" s="625" t="str">
        <f>IF('Part V-Revenues &amp; Expenses'!$L$59=0,"",'Part V-Revenues &amp; Expenses'!$L$59)</f>
        <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3953</v>
      </c>
      <c r="E287" s="4729" t="s">
        <v>3037</v>
      </c>
      <c r="F287" s="4729"/>
      <c r="G287" s="4729"/>
      <c r="H287" s="4729"/>
    </row>
    <row r="288" spans="1:8" ht="12.75" customHeight="1">
      <c r="C288" s="1386"/>
      <c r="D288" s="630" t="s">
        <v>2917</v>
      </c>
      <c r="E288" s="4729" t="s">
        <v>3038</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3953</v>
      </c>
      <c r="E292" s="4729" t="s">
        <v>3037</v>
      </c>
      <c r="F292" s="4729"/>
      <c r="G292" s="4729"/>
      <c r="H292" s="4729"/>
    </row>
    <row r="293" spans="1:8" ht="12.75" customHeight="1">
      <c r="C293" s="1386"/>
      <c r="D293" s="1384" t="s">
        <v>2917</v>
      </c>
      <c r="E293" s="4732" t="s">
        <v>3038</v>
      </c>
      <c r="F293" s="4732"/>
      <c r="G293" s="4732"/>
      <c r="H293" s="4732"/>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3953</v>
      </c>
      <c r="E297" s="4729" t="s">
        <v>3037</v>
      </c>
      <c r="F297" s="4729"/>
      <c r="G297" s="4729"/>
      <c r="H297" s="4729"/>
    </row>
    <row r="298" spans="1:8" ht="12.75" customHeight="1">
      <c r="C298" s="1386"/>
      <c r="D298" s="1384" t="s">
        <v>2917</v>
      </c>
      <c r="E298" s="4732" t="s">
        <v>3038</v>
      </c>
      <c r="F298" s="4732"/>
      <c r="G298" s="4732"/>
      <c r="H298" s="4732"/>
    </row>
    <row r="299" spans="1:8" ht="6" customHeight="1">
      <c r="D299" s="627"/>
      <c r="E299" s="1004"/>
      <c r="F299" s="1004"/>
      <c r="G299" s="1004"/>
      <c r="H299" s="1004"/>
    </row>
    <row r="300" spans="1:8">
      <c r="A300" s="608" t="s">
        <v>2913</v>
      </c>
      <c r="B300" s="625">
        <f>IF('Part V-Revenues &amp; Expenses'!$M$59=0,"",'Part V-Revenues &amp; Expenses'!$M$59)</f>
        <v>8</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3953</v>
      </c>
      <c r="E304" s="4729" t="s">
        <v>3037</v>
      </c>
      <c r="F304" s="4729"/>
      <c r="G304" s="4729"/>
      <c r="H304" s="4729"/>
    </row>
    <row r="305" spans="1:8" ht="12.75" customHeight="1">
      <c r="C305" s="1386"/>
      <c r="D305" s="630" t="s">
        <v>2917</v>
      </c>
      <c r="E305" s="4729" t="s">
        <v>3038</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3953</v>
      </c>
      <c r="E309" s="4729" t="s">
        <v>3037</v>
      </c>
      <c r="F309" s="4729"/>
      <c r="G309" s="4729"/>
      <c r="H309" s="4729"/>
    </row>
    <row r="310" spans="1:8" ht="12.75" customHeight="1">
      <c r="C310" s="1386"/>
      <c r="D310" s="1384" t="s">
        <v>2917</v>
      </c>
      <c r="E310" s="4732" t="s">
        <v>3038</v>
      </c>
      <c r="F310" s="4732"/>
      <c r="G310" s="4732"/>
      <c r="H310" s="4732"/>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3953</v>
      </c>
      <c r="E314" s="4729" t="s">
        <v>3037</v>
      </c>
      <c r="F314" s="4729"/>
      <c r="G314" s="4729"/>
      <c r="H314" s="4729"/>
    </row>
    <row r="315" spans="1:8" ht="12.75" customHeight="1">
      <c r="C315" s="1386"/>
      <c r="D315" s="1384" t="s">
        <v>2917</v>
      </c>
      <c r="E315" s="4732" t="s">
        <v>3038</v>
      </c>
      <c r="F315" s="4732"/>
      <c r="G315" s="4732"/>
      <c r="H315" s="4732"/>
    </row>
    <row r="316" spans="1:8" ht="6" customHeight="1">
      <c r="D316" s="627"/>
      <c r="E316" s="1004"/>
      <c r="F316" s="1004"/>
      <c r="G316" s="1004"/>
      <c r="H316" s="1004"/>
    </row>
    <row r="317" spans="1:8">
      <c r="A317" s="608" t="s">
        <v>2913</v>
      </c>
      <c r="B317" s="625">
        <f>IF('Part V-Revenues &amp; Expenses'!$N$59=0,"",'Part V-Revenues &amp; Expenses'!$N$59)</f>
        <v>4</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3953</v>
      </c>
      <c r="E321" s="4729" t="s">
        <v>3037</v>
      </c>
      <c r="F321" s="4729"/>
      <c r="G321" s="4729"/>
      <c r="H321" s="4729"/>
    </row>
    <row r="322" spans="1:11" ht="12.75" customHeight="1">
      <c r="C322" s="1386"/>
      <c r="D322" s="630" t="s">
        <v>2917</v>
      </c>
      <c r="E322" s="4729" t="s">
        <v>3038</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3953</v>
      </c>
      <c r="E326" s="4729" t="s">
        <v>3037</v>
      </c>
      <c r="F326" s="4729"/>
      <c r="G326" s="4729"/>
      <c r="H326" s="4729"/>
    </row>
    <row r="327" spans="1:11" ht="12.75" customHeight="1">
      <c r="C327" s="1386"/>
      <c r="D327" s="1384" t="s">
        <v>2917</v>
      </c>
      <c r="E327" s="4732" t="s">
        <v>3038</v>
      </c>
      <c r="F327" s="4732"/>
      <c r="G327" s="4732"/>
      <c r="H327" s="4732"/>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3953</v>
      </c>
      <c r="E331" s="4729" t="s">
        <v>3037</v>
      </c>
      <c r="F331" s="4729"/>
      <c r="G331" s="4729"/>
      <c r="H331" s="4729"/>
    </row>
    <row r="332" spans="1:11" ht="12.75" customHeight="1">
      <c r="C332" s="1386"/>
      <c r="D332" s="1384" t="s">
        <v>2917</v>
      </c>
      <c r="E332" s="4732" t="s">
        <v>3038</v>
      </c>
      <c r="F332" s="4732"/>
      <c r="G332" s="4732"/>
      <c r="H332" s="4732"/>
    </row>
    <row r="333" spans="1:11" ht="6" customHeight="1">
      <c r="D333" s="627"/>
      <c r="E333" s="1004"/>
      <c r="F333" s="1004"/>
      <c r="G333" s="1004"/>
      <c r="H333" s="1004"/>
    </row>
    <row r="334" spans="1:11">
      <c r="A334" s="608" t="s">
        <v>2913</v>
      </c>
      <c r="B334" s="625">
        <f>IF('Part V-Revenues &amp; Expenses'!$O$59=0,"",'Part V-Revenues &amp; Expenses'!$O$59)</f>
        <v>4</v>
      </c>
      <c r="C334" s="608" t="s">
        <v>3951</v>
      </c>
      <c r="D334" s="626" t="s">
        <v>3952</v>
      </c>
    </row>
    <row r="335" spans="1:11" ht="1.9"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3037</v>
      </c>
      <c r="F338" s="4729"/>
      <c r="G338" s="4729"/>
      <c r="H338" s="4729"/>
    </row>
    <row r="339" spans="1:8" ht="12.75" customHeight="1">
      <c r="D339" s="630" t="s">
        <v>2917</v>
      </c>
      <c r="E339" s="4729" t="s">
        <v>3038</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3958</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3948</v>
      </c>
      <c r="D346" s="626" t="s">
        <v>3949</v>
      </c>
    </row>
    <row r="347" spans="1:8" ht="1.9"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3953</v>
      </c>
      <c r="E350" s="4729" t="s">
        <v>3037</v>
      </c>
      <c r="F350" s="4729"/>
      <c r="G350" s="4729"/>
      <c r="H350" s="4729"/>
    </row>
    <row r="351" spans="1:8" ht="12.75" customHeight="1">
      <c r="C351" s="1386"/>
      <c r="D351" s="1384" t="s">
        <v>2917</v>
      </c>
      <c r="E351" s="4732" t="s">
        <v>3038</v>
      </c>
      <c r="F351" s="4732"/>
      <c r="G351" s="4732"/>
      <c r="H351" s="4732"/>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3953</v>
      </c>
      <c r="E355" s="4729" t="s">
        <v>3037</v>
      </c>
      <c r="F355" s="4729"/>
      <c r="G355" s="4729"/>
      <c r="H355" s="4729"/>
    </row>
    <row r="356" spans="1:8" ht="12.75" customHeight="1">
      <c r="C356" s="1386"/>
      <c r="D356" s="1384" t="s">
        <v>2917</v>
      </c>
      <c r="E356" s="4732" t="s">
        <v>3038</v>
      </c>
      <c r="F356" s="4732"/>
      <c r="G356" s="4732"/>
      <c r="H356" s="4732"/>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3953</v>
      </c>
      <c r="E360" s="4729" t="s">
        <v>3037</v>
      </c>
      <c r="F360" s="4729"/>
      <c r="G360" s="4729"/>
      <c r="H360" s="4729"/>
    </row>
    <row r="361" spans="1:8" ht="12.75" customHeight="1">
      <c r="C361" s="1386"/>
      <c r="D361" s="1384" t="s">
        <v>2917</v>
      </c>
      <c r="E361" s="4732" t="s">
        <v>3038</v>
      </c>
      <c r="F361" s="4732"/>
      <c r="G361" s="4732"/>
      <c r="H361" s="4732"/>
    </row>
    <row r="362" spans="1:8" ht="6" customHeight="1">
      <c r="D362" s="627"/>
      <c r="E362" s="1004"/>
      <c r="F362" s="1004"/>
      <c r="G362" s="1004"/>
      <c r="H362" s="1004"/>
    </row>
    <row r="363" spans="1:8">
      <c r="A363" s="608" t="s">
        <v>2913</v>
      </c>
      <c r="B363" s="625" t="str">
        <f>IF('Part V-Revenues &amp; Expenses'!$L$58=0,"",'Part V-Revenues &amp; Expenses'!$L$58)</f>
        <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3953</v>
      </c>
      <c r="E367" s="4729" t="s">
        <v>3037</v>
      </c>
      <c r="F367" s="4729"/>
      <c r="G367" s="4729"/>
      <c r="H367" s="4729"/>
    </row>
    <row r="368" spans="1:8" ht="12.75" customHeight="1">
      <c r="C368" s="1386"/>
      <c r="D368" s="630" t="s">
        <v>2917</v>
      </c>
      <c r="E368" s="4729" t="s">
        <v>3038</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3953</v>
      </c>
      <c r="E372" s="4729" t="s">
        <v>3037</v>
      </c>
      <c r="F372" s="4729"/>
      <c r="G372" s="4729"/>
      <c r="H372" s="4729"/>
    </row>
    <row r="373" spans="1:8" ht="12.75" customHeight="1">
      <c r="C373" s="1386"/>
      <c r="D373" s="1384" t="s">
        <v>2917</v>
      </c>
      <c r="E373" s="4732" t="s">
        <v>3038</v>
      </c>
      <c r="F373" s="4732"/>
      <c r="G373" s="4732"/>
      <c r="H373" s="4732"/>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3953</v>
      </c>
      <c r="E377" s="4729" t="s">
        <v>3037</v>
      </c>
      <c r="F377" s="4729"/>
      <c r="G377" s="4729"/>
      <c r="H377" s="4729"/>
    </row>
    <row r="378" spans="1:8" ht="12.75" customHeight="1">
      <c r="C378" s="1386"/>
      <c r="D378" s="1384" t="s">
        <v>2917</v>
      </c>
      <c r="E378" s="4732" t="s">
        <v>3038</v>
      </c>
      <c r="F378" s="4732"/>
      <c r="G378" s="4732"/>
      <c r="H378" s="4732"/>
    </row>
    <row r="379" spans="1:8" ht="6" customHeight="1">
      <c r="D379" s="627"/>
      <c r="E379" s="1004"/>
      <c r="F379" s="1004"/>
      <c r="G379" s="1004"/>
      <c r="H379" s="1004"/>
    </row>
    <row r="380" spans="1:8">
      <c r="A380" s="608" t="s">
        <v>2913</v>
      </c>
      <c r="B380" s="625">
        <f>IF('Part V-Revenues &amp; Expenses'!$M$58=0,"",'Part V-Revenues &amp; Expenses'!$M$58)</f>
        <v>30</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3953</v>
      </c>
      <c r="E384" s="4729" t="s">
        <v>3037</v>
      </c>
      <c r="F384" s="4729"/>
      <c r="G384" s="4729"/>
      <c r="H384" s="4729"/>
    </row>
    <row r="385" spans="1:8" ht="12.75" customHeight="1">
      <c r="C385" s="1386"/>
      <c r="D385" s="630" t="s">
        <v>2917</v>
      </c>
      <c r="E385" s="4729" t="s">
        <v>3038</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3953</v>
      </c>
      <c r="E389" s="4729" t="s">
        <v>3037</v>
      </c>
      <c r="F389" s="4729"/>
      <c r="G389" s="4729"/>
      <c r="H389" s="4729"/>
    </row>
    <row r="390" spans="1:8" ht="12.75" customHeight="1">
      <c r="C390" s="1386"/>
      <c r="D390" s="1384" t="s">
        <v>2917</v>
      </c>
      <c r="E390" s="4732" t="s">
        <v>3038</v>
      </c>
      <c r="F390" s="4732"/>
      <c r="G390" s="4732"/>
      <c r="H390" s="4732"/>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3953</v>
      </c>
      <c r="E394" s="4729" t="s">
        <v>3037</v>
      </c>
      <c r="F394" s="4729"/>
      <c r="G394" s="4729"/>
      <c r="H394" s="4729"/>
    </row>
    <row r="395" spans="1:8" ht="12.75" customHeight="1">
      <c r="C395" s="1386"/>
      <c r="D395" s="1384" t="s">
        <v>2917</v>
      </c>
      <c r="E395" s="4732" t="s">
        <v>3038</v>
      </c>
      <c r="F395" s="4732"/>
      <c r="G395" s="4732"/>
      <c r="H395" s="4732"/>
    </row>
    <row r="396" spans="1:8" ht="6" customHeight="1">
      <c r="D396" s="627"/>
      <c r="E396" s="1004"/>
      <c r="F396" s="1004"/>
      <c r="G396" s="1004"/>
      <c r="H396" s="1004"/>
    </row>
    <row r="397" spans="1:8">
      <c r="A397" s="608" t="s">
        <v>2913</v>
      </c>
      <c r="B397" s="625">
        <f>IF('Part V-Revenues &amp; Expenses'!$N$58=0,"",'Part V-Revenues &amp; Expenses'!$N$58)</f>
        <v>15</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3953</v>
      </c>
      <c r="E401" s="4729" t="s">
        <v>3037</v>
      </c>
      <c r="F401" s="4729"/>
      <c r="G401" s="4729"/>
      <c r="H401" s="4729"/>
    </row>
    <row r="402" spans="1:11" ht="12.75" customHeight="1">
      <c r="C402" s="1386"/>
      <c r="D402" s="630" t="s">
        <v>2917</v>
      </c>
      <c r="E402" s="4729" t="s">
        <v>3038</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3953</v>
      </c>
      <c r="E406" s="4729" t="s">
        <v>3037</v>
      </c>
      <c r="F406" s="4729"/>
      <c r="G406" s="4729"/>
      <c r="H406" s="4729"/>
    </row>
    <row r="407" spans="1:11" ht="12.75" customHeight="1">
      <c r="C407" s="1386"/>
      <c r="D407" s="1384" t="s">
        <v>2917</v>
      </c>
      <c r="E407" s="4732" t="s">
        <v>3038</v>
      </c>
      <c r="F407" s="4732"/>
      <c r="G407" s="4732"/>
      <c r="H407" s="4732"/>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3953</v>
      </c>
      <c r="E411" s="4729" t="s">
        <v>3037</v>
      </c>
      <c r="F411" s="4729"/>
      <c r="G411" s="4729"/>
      <c r="H411" s="4729"/>
    </row>
    <row r="412" spans="1:11" ht="12.75" customHeight="1">
      <c r="C412" s="1386"/>
      <c r="D412" s="1384" t="s">
        <v>2917</v>
      </c>
      <c r="E412" s="4732" t="s">
        <v>3038</v>
      </c>
      <c r="F412" s="4732"/>
      <c r="G412" s="4732"/>
      <c r="H412" s="4732"/>
    </row>
    <row r="413" spans="1:11" ht="6" customHeight="1">
      <c r="D413" s="627"/>
      <c r="E413" s="1004"/>
      <c r="F413" s="1004"/>
      <c r="G413" s="1004"/>
      <c r="H413" s="1004"/>
    </row>
    <row r="414" spans="1:11">
      <c r="A414" s="608" t="s">
        <v>2913</v>
      </c>
      <c r="B414" s="625">
        <f>IF('Part V-Revenues &amp; Expenses'!$O$58=0,"",'Part V-Revenues &amp; Expenses'!$O$58)</f>
        <v>15</v>
      </c>
      <c r="C414" s="608" t="s">
        <v>3951</v>
      </c>
      <c r="D414" s="626" t="s">
        <v>3952</v>
      </c>
    </row>
    <row r="415" spans="1:11" ht="1.9"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3037</v>
      </c>
      <c r="F418" s="4729"/>
      <c r="G418" s="4729"/>
      <c r="H418" s="4729"/>
    </row>
    <row r="419" spans="1:8" ht="12.75" customHeight="1">
      <c r="D419" s="630" t="s">
        <v>2917</v>
      </c>
      <c r="E419" s="4729" t="s">
        <v>3038</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3959</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3948</v>
      </c>
      <c r="D425" s="626" t="s">
        <v>3949</v>
      </c>
    </row>
    <row r="426" spans="1:8" ht="1.9"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3953</v>
      </c>
      <c r="E429" s="4729" t="s">
        <v>3037</v>
      </c>
      <c r="F429" s="4729"/>
      <c r="G429" s="4729"/>
      <c r="H429" s="4729"/>
    </row>
    <row r="430" spans="1:8" ht="12.75" customHeight="1">
      <c r="C430" s="1386"/>
      <c r="D430" s="1384" t="s">
        <v>2917</v>
      </c>
      <c r="E430" s="4732" t="s">
        <v>3038</v>
      </c>
      <c r="F430" s="4732"/>
      <c r="G430" s="4732"/>
      <c r="H430" s="4732"/>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3953</v>
      </c>
      <c r="E434" s="4729" t="s">
        <v>3037</v>
      </c>
      <c r="F434" s="4729"/>
      <c r="G434" s="4729"/>
      <c r="H434" s="4729"/>
    </row>
    <row r="435" spans="1:8" ht="12.75" customHeight="1">
      <c r="C435" s="1386"/>
      <c r="D435" s="1384" t="s">
        <v>2917</v>
      </c>
      <c r="E435" s="4732" t="s">
        <v>3038</v>
      </c>
      <c r="F435" s="4732"/>
      <c r="G435" s="4732"/>
      <c r="H435" s="4732"/>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3953</v>
      </c>
      <c r="E439" s="4729" t="s">
        <v>3037</v>
      </c>
      <c r="F439" s="4729"/>
      <c r="G439" s="4729"/>
      <c r="H439" s="4729"/>
    </row>
    <row r="440" spans="1:8" ht="12.75" customHeight="1">
      <c r="C440" s="1386"/>
      <c r="D440" s="1384" t="s">
        <v>2917</v>
      </c>
      <c r="E440" s="4732" t="s">
        <v>3038</v>
      </c>
      <c r="F440" s="4732"/>
      <c r="G440" s="4732"/>
      <c r="H440" s="4732"/>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3953</v>
      </c>
      <c r="E446" s="4729" t="s">
        <v>3037</v>
      </c>
      <c r="F446" s="4729"/>
      <c r="G446" s="4729"/>
      <c r="H446" s="4729"/>
    </row>
    <row r="447" spans="1:8" ht="12.75" customHeight="1">
      <c r="C447" s="1386"/>
      <c r="D447" s="630" t="s">
        <v>2917</v>
      </c>
      <c r="E447" s="4729" t="s">
        <v>3038</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3953</v>
      </c>
      <c r="E451" s="4729" t="s">
        <v>3037</v>
      </c>
      <c r="F451" s="4729"/>
      <c r="G451" s="4729"/>
      <c r="H451" s="4729"/>
    </row>
    <row r="452" spans="1:8" ht="12.75" customHeight="1">
      <c r="C452" s="1386"/>
      <c r="D452" s="1384" t="s">
        <v>2917</v>
      </c>
      <c r="E452" s="4732" t="s">
        <v>3038</v>
      </c>
      <c r="F452" s="4732"/>
      <c r="G452" s="4732"/>
      <c r="H452" s="4732"/>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3953</v>
      </c>
      <c r="E456" s="4729" t="s">
        <v>3037</v>
      </c>
      <c r="F456" s="4729"/>
      <c r="G456" s="4729"/>
      <c r="H456" s="4729"/>
    </row>
    <row r="457" spans="1:8" ht="12.75" customHeight="1">
      <c r="C457" s="1386"/>
      <c r="D457" s="1384" t="s">
        <v>2917</v>
      </c>
      <c r="E457" s="4732" t="s">
        <v>3038</v>
      </c>
      <c r="F457" s="4732"/>
      <c r="G457" s="4732"/>
      <c r="H457" s="4732"/>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3953</v>
      </c>
      <c r="E463" s="4729" t="s">
        <v>3037</v>
      </c>
      <c r="F463" s="4729"/>
      <c r="G463" s="4729"/>
      <c r="H463" s="4729"/>
    </row>
    <row r="464" spans="1:8" ht="12.75" customHeight="1">
      <c r="C464" s="1386"/>
      <c r="D464" s="630" t="s">
        <v>2917</v>
      </c>
      <c r="E464" s="4729" t="s">
        <v>3038</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3953</v>
      </c>
      <c r="E468" s="4729" t="s">
        <v>3037</v>
      </c>
      <c r="F468" s="4729"/>
      <c r="G468" s="4729"/>
      <c r="H468" s="4729"/>
    </row>
    <row r="469" spans="1:8" ht="12.75" customHeight="1">
      <c r="C469" s="1386"/>
      <c r="D469" s="1384" t="s">
        <v>2917</v>
      </c>
      <c r="E469" s="4732" t="s">
        <v>3038</v>
      </c>
      <c r="F469" s="4732"/>
      <c r="G469" s="4732"/>
      <c r="H469" s="4732"/>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3953</v>
      </c>
      <c r="E473" s="4729" t="s">
        <v>3037</v>
      </c>
      <c r="F473" s="4729"/>
      <c r="G473" s="4729"/>
      <c r="H473" s="4729"/>
    </row>
    <row r="474" spans="1:8" ht="12.75" customHeight="1">
      <c r="C474" s="1386"/>
      <c r="D474" s="1384" t="s">
        <v>2917</v>
      </c>
      <c r="E474" s="4732" t="s">
        <v>3038</v>
      </c>
      <c r="F474" s="4732"/>
      <c r="G474" s="4732"/>
      <c r="H474" s="4732"/>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3953</v>
      </c>
      <c r="E480" s="4729" t="s">
        <v>3037</v>
      </c>
      <c r="F480" s="4729"/>
      <c r="G480" s="4729"/>
      <c r="H480" s="4729"/>
    </row>
    <row r="481" spans="1:11" ht="12.75" customHeight="1">
      <c r="C481" s="1386"/>
      <c r="D481" s="630" t="s">
        <v>2917</v>
      </c>
      <c r="E481" s="4729" t="s">
        <v>3038</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3953</v>
      </c>
      <c r="E485" s="4729" t="s">
        <v>3037</v>
      </c>
      <c r="F485" s="4729"/>
      <c r="G485" s="4729"/>
      <c r="H485" s="4729"/>
    </row>
    <row r="486" spans="1:11" ht="12.75" customHeight="1">
      <c r="C486" s="1386"/>
      <c r="D486" s="1384" t="s">
        <v>2917</v>
      </c>
      <c r="E486" s="4732" t="s">
        <v>3038</v>
      </c>
      <c r="F486" s="4732"/>
      <c r="G486" s="4732"/>
      <c r="H486" s="4732"/>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3953</v>
      </c>
      <c r="E490" s="4729" t="s">
        <v>3037</v>
      </c>
      <c r="F490" s="4729"/>
      <c r="G490" s="4729"/>
      <c r="H490" s="4729"/>
    </row>
    <row r="491" spans="1:11" ht="12.75" customHeight="1">
      <c r="C491" s="1386"/>
      <c r="D491" s="1384" t="s">
        <v>2917</v>
      </c>
      <c r="E491" s="4732" t="s">
        <v>3038</v>
      </c>
      <c r="F491" s="4732"/>
      <c r="G491" s="4732"/>
      <c r="H491" s="4732"/>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3037</v>
      </c>
      <c r="F497" s="4729"/>
      <c r="G497" s="4729"/>
      <c r="H497" s="4729"/>
    </row>
    <row r="498" spans="1:8" ht="12.75" customHeight="1">
      <c r="D498" s="630" t="s">
        <v>2917</v>
      </c>
      <c r="E498" s="4729" t="s">
        <v>3038</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3960</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3948</v>
      </c>
      <c r="D504" s="626" t="s">
        <v>3949</v>
      </c>
    </row>
    <row r="505" spans="1:8" ht="1.9"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3953</v>
      </c>
      <c r="E508" s="4729" t="s">
        <v>3037</v>
      </c>
      <c r="F508" s="4729"/>
      <c r="G508" s="4729"/>
      <c r="H508" s="4729"/>
    </row>
    <row r="509" spans="1:8" ht="12.75" customHeight="1">
      <c r="C509" s="1386"/>
      <c r="D509" s="1384" t="s">
        <v>2917</v>
      </c>
      <c r="E509" s="4732" t="s">
        <v>3038</v>
      </c>
      <c r="F509" s="4732"/>
      <c r="G509" s="4732"/>
      <c r="H509" s="4732"/>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3953</v>
      </c>
      <c r="E513" s="4729" t="s">
        <v>3037</v>
      </c>
      <c r="F513" s="4729"/>
      <c r="G513" s="4729"/>
      <c r="H513" s="4729"/>
    </row>
    <row r="514" spans="1:8" ht="12.75" customHeight="1">
      <c r="C514" s="1386"/>
      <c r="D514" s="1384" t="s">
        <v>2917</v>
      </c>
      <c r="E514" s="4732" t="s">
        <v>3038</v>
      </c>
      <c r="F514" s="4732"/>
      <c r="G514" s="4732"/>
      <c r="H514" s="4732"/>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3953</v>
      </c>
      <c r="E518" s="4729" t="s">
        <v>3037</v>
      </c>
      <c r="F518" s="4729"/>
      <c r="G518" s="4729"/>
      <c r="H518" s="4729"/>
    </row>
    <row r="519" spans="1:8" ht="12.75" customHeight="1">
      <c r="C519" s="1386"/>
      <c r="D519" s="1384" t="s">
        <v>2917</v>
      </c>
      <c r="E519" s="4732" t="s">
        <v>3038</v>
      </c>
      <c r="F519" s="4732"/>
      <c r="G519" s="4732"/>
      <c r="H519" s="4732"/>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3953</v>
      </c>
      <c r="E525" s="4729" t="s">
        <v>3037</v>
      </c>
      <c r="F525" s="4729"/>
      <c r="G525" s="4729"/>
      <c r="H525" s="4729"/>
    </row>
    <row r="526" spans="1:8" ht="12.75" customHeight="1">
      <c r="C526" s="1386"/>
      <c r="D526" s="630" t="s">
        <v>2917</v>
      </c>
      <c r="E526" s="4729" t="s">
        <v>3038</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3953</v>
      </c>
      <c r="E530" s="4729" t="s">
        <v>3037</v>
      </c>
      <c r="F530" s="4729"/>
      <c r="G530" s="4729"/>
      <c r="H530" s="4729"/>
    </row>
    <row r="531" spans="1:8" ht="12.75" customHeight="1">
      <c r="C531" s="1386"/>
      <c r="D531" s="1384" t="s">
        <v>2917</v>
      </c>
      <c r="E531" s="4732" t="s">
        <v>3038</v>
      </c>
      <c r="F531" s="4732"/>
      <c r="G531" s="4732"/>
      <c r="H531" s="4732"/>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3953</v>
      </c>
      <c r="E535" s="4729" t="s">
        <v>3037</v>
      </c>
      <c r="F535" s="4729"/>
      <c r="G535" s="4729"/>
      <c r="H535" s="4729"/>
    </row>
    <row r="536" spans="1:8" ht="12.75" customHeight="1">
      <c r="C536" s="1386"/>
      <c r="D536" s="1384" t="s">
        <v>2917</v>
      </c>
      <c r="E536" s="4732" t="s">
        <v>3038</v>
      </c>
      <c r="F536" s="4732"/>
      <c r="G536" s="4732"/>
      <c r="H536" s="4732"/>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3953</v>
      </c>
      <c r="E542" s="4729" t="s">
        <v>3037</v>
      </c>
      <c r="F542" s="4729"/>
      <c r="G542" s="4729"/>
      <c r="H542" s="4729"/>
    </row>
    <row r="543" spans="1:8" ht="12.75" customHeight="1">
      <c r="C543" s="1386"/>
      <c r="D543" s="630" t="s">
        <v>2917</v>
      </c>
      <c r="E543" s="4729" t="s">
        <v>3038</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3953</v>
      </c>
      <c r="E547" s="4729" t="s">
        <v>3037</v>
      </c>
      <c r="F547" s="4729"/>
      <c r="G547" s="4729"/>
      <c r="H547" s="4729"/>
    </row>
    <row r="548" spans="1:8" ht="12.75" customHeight="1">
      <c r="C548" s="1386"/>
      <c r="D548" s="1384" t="s">
        <v>2917</v>
      </c>
      <c r="E548" s="4732" t="s">
        <v>3038</v>
      </c>
      <c r="F548" s="4732"/>
      <c r="G548" s="4732"/>
      <c r="H548" s="4732"/>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3953</v>
      </c>
      <c r="E552" s="4729" t="s">
        <v>3037</v>
      </c>
      <c r="F552" s="4729"/>
      <c r="G552" s="4729"/>
      <c r="H552" s="4729"/>
    </row>
    <row r="553" spans="1:8" ht="12.75" customHeight="1">
      <c r="C553" s="1386"/>
      <c r="D553" s="1384" t="s">
        <v>2917</v>
      </c>
      <c r="E553" s="4732" t="s">
        <v>3038</v>
      </c>
      <c r="F553" s="4732"/>
      <c r="G553" s="4732"/>
      <c r="H553" s="4732"/>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3953</v>
      </c>
      <c r="E559" s="4729" t="s">
        <v>3037</v>
      </c>
      <c r="F559" s="4729"/>
      <c r="G559" s="4729"/>
      <c r="H559" s="4729"/>
    </row>
    <row r="560" spans="1:8" ht="12.75" customHeight="1">
      <c r="C560" s="1386"/>
      <c r="D560" s="630" t="s">
        <v>2917</v>
      </c>
      <c r="E560" s="4729" t="s">
        <v>3038</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3953</v>
      </c>
      <c r="E564" s="4729" t="s">
        <v>3037</v>
      </c>
      <c r="F564" s="4729"/>
      <c r="G564" s="4729"/>
      <c r="H564" s="4729"/>
    </row>
    <row r="565" spans="1:11" ht="12.75" customHeight="1">
      <c r="C565" s="1386"/>
      <c r="D565" s="1384" t="s">
        <v>2917</v>
      </c>
      <c r="E565" s="4732" t="s">
        <v>3038</v>
      </c>
      <c r="F565" s="4732"/>
      <c r="G565" s="4732"/>
      <c r="H565" s="4732"/>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3953</v>
      </c>
      <c r="E569" s="4729" t="s">
        <v>3037</v>
      </c>
      <c r="F569" s="4729"/>
      <c r="G569" s="4729"/>
      <c r="H569" s="4729"/>
    </row>
    <row r="570" spans="1:11" ht="12.75" customHeight="1">
      <c r="C570" s="1386"/>
      <c r="D570" s="1384" t="s">
        <v>2917</v>
      </c>
      <c r="E570" s="4732" t="s">
        <v>3038</v>
      </c>
      <c r="F570" s="4732"/>
      <c r="G570" s="4732"/>
      <c r="H570" s="4732"/>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3037</v>
      </c>
      <c r="F576" s="4729"/>
      <c r="G576" s="4729"/>
      <c r="H576" s="4729"/>
    </row>
    <row r="577" spans="4:8" ht="12.75" customHeight="1">
      <c r="D577" s="630" t="s">
        <v>2917</v>
      </c>
      <c r="E577" s="4729" t="s">
        <v>3038</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03" t="e">
        <f>#REF!</f>
        <v>#REF!</v>
      </c>
      <c r="P4" s="3004"/>
      <c r="Q4" s="3004"/>
      <c r="R4" s="3004"/>
      <c r="S4" s="3005"/>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3110</v>
      </c>
      <c r="M9" s="2981"/>
      <c r="N9" s="2982"/>
      <c r="O9" s="259" t="s">
        <v>1833</v>
      </c>
      <c r="P9" s="261"/>
      <c r="Q9" s="2908"/>
      <c r="R9" s="2909"/>
      <c r="S9" s="2910"/>
      <c r="Z9" s="1618">
        <v>9</v>
      </c>
    </row>
    <row r="10" spans="1:26" s="144" customFormat="1" ht="11.25" customHeight="1">
      <c r="D10" s="260"/>
      <c r="E10" s="246" t="s">
        <v>3372</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3372</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3372</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3372</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3372</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3372</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3372</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3372</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3372</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3372</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3372</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3372</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3372</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3372</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3372</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3372</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3372</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43"/>
      <c r="I120" s="2944"/>
      <c r="J120" s="2945"/>
      <c r="K120" s="262" t="s">
        <v>1665</v>
      </c>
      <c r="L120" s="2943"/>
      <c r="M120" s="2987"/>
      <c r="N120" s="2988"/>
      <c r="O120" s="259" t="s">
        <v>3056</v>
      </c>
      <c r="P120" s="261"/>
      <c r="Q120" s="3006"/>
      <c r="R120" s="3007"/>
      <c r="S120" s="3008"/>
      <c r="Z120" s="1618">
        <v>120</v>
      </c>
    </row>
    <row r="121" spans="1:26" s="144" customFormat="1" ht="11.25" customHeight="1">
      <c r="C121" s="243"/>
      <c r="D121" s="260"/>
      <c r="E121" s="246" t="s">
        <v>4120</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43"/>
      <c r="I124" s="2944"/>
      <c r="J124" s="2945"/>
      <c r="K124" s="262" t="s">
        <v>1665</v>
      </c>
      <c r="L124" s="2943"/>
      <c r="M124" s="2987"/>
      <c r="N124" s="2988"/>
      <c r="O124" s="259" t="s">
        <v>3056</v>
      </c>
      <c r="P124" s="261"/>
      <c r="Q124" s="3006"/>
      <c r="R124" s="3007"/>
      <c r="S124" s="3008"/>
      <c r="Z124" s="1618">
        <v>124</v>
      </c>
    </row>
    <row r="125" spans="1:26" s="144" customFormat="1" ht="11.25" hidden="1" customHeight="1">
      <c r="C125" s="243"/>
      <c r="D125" s="260"/>
      <c r="E125" s="246" t="s">
        <v>4120</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43"/>
      <c r="I128" s="2944"/>
      <c r="J128" s="2945"/>
      <c r="K128" s="262" t="s">
        <v>1665</v>
      </c>
      <c r="L128" s="2943"/>
      <c r="M128" s="2987"/>
      <c r="N128" s="2988"/>
      <c r="O128" s="259" t="s">
        <v>3056</v>
      </c>
      <c r="P128" s="261"/>
      <c r="Q128" s="3006"/>
      <c r="R128" s="3007"/>
      <c r="S128" s="3008"/>
      <c r="Z128" s="1618">
        <v>128</v>
      </c>
    </row>
    <row r="129" spans="3:26" s="144" customFormat="1" ht="11.25" hidden="1" customHeight="1">
      <c r="C129" s="243"/>
      <c r="D129" s="260"/>
      <c r="E129" s="246" t="s">
        <v>4120</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43"/>
      <c r="I132" s="2944"/>
      <c r="J132" s="2945"/>
      <c r="K132" s="262" t="s">
        <v>1665</v>
      </c>
      <c r="L132" s="2943"/>
      <c r="M132" s="2987"/>
      <c r="N132" s="2988"/>
      <c r="O132" s="259" t="s">
        <v>3056</v>
      </c>
      <c r="P132" s="261"/>
      <c r="Q132" s="3006"/>
      <c r="R132" s="3007"/>
      <c r="S132" s="3008"/>
      <c r="Z132" s="1618">
        <v>132</v>
      </c>
    </row>
    <row r="133" spans="3:26" s="144" customFormat="1" ht="11.25" hidden="1" customHeight="1">
      <c r="C133" s="243"/>
      <c r="D133" s="260"/>
      <c r="E133" s="246" t="s">
        <v>4120</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43"/>
      <c r="I136" s="2944"/>
      <c r="J136" s="2945"/>
      <c r="K136" s="262" t="s">
        <v>1665</v>
      </c>
      <c r="L136" s="2943"/>
      <c r="M136" s="2987"/>
      <c r="N136" s="2988"/>
      <c r="O136" s="259" t="s">
        <v>3056</v>
      </c>
      <c r="P136" s="261"/>
      <c r="Q136" s="3006"/>
      <c r="R136" s="3007"/>
      <c r="S136" s="3008"/>
      <c r="Z136" s="1618">
        <v>136</v>
      </c>
    </row>
    <row r="137" spans="3:26" s="144" customFormat="1" ht="11.25" hidden="1" customHeight="1">
      <c r="C137" s="243"/>
      <c r="D137" s="260"/>
      <c r="E137" s="246" t="s">
        <v>4120</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43"/>
      <c r="I140" s="2944"/>
      <c r="J140" s="2945"/>
      <c r="K140" s="262" t="s">
        <v>1665</v>
      </c>
      <c r="L140" s="2943"/>
      <c r="M140" s="2987"/>
      <c r="N140" s="2988"/>
      <c r="O140" s="259" t="s">
        <v>3056</v>
      </c>
      <c r="P140" s="261"/>
      <c r="Q140" s="3006"/>
      <c r="R140" s="3007"/>
      <c r="S140" s="3008"/>
      <c r="Z140" s="1618">
        <v>140</v>
      </c>
    </row>
    <row r="141" spans="3:26" s="144" customFormat="1" ht="11.25" hidden="1" customHeight="1">
      <c r="C141" s="243"/>
      <c r="D141" s="260"/>
      <c r="E141" s="246" t="s">
        <v>4120</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43"/>
      <c r="I144" s="2944"/>
      <c r="J144" s="2945"/>
      <c r="K144" s="262" t="s">
        <v>1665</v>
      </c>
      <c r="L144" s="2943"/>
      <c r="M144" s="2987"/>
      <c r="N144" s="2988"/>
      <c r="O144" s="259" t="s">
        <v>3056</v>
      </c>
      <c r="P144" s="261"/>
      <c r="Q144" s="3006"/>
      <c r="R144" s="3007"/>
      <c r="S144" s="3008"/>
      <c r="Z144" s="1618">
        <v>144</v>
      </c>
    </row>
    <row r="145" spans="1:26" s="144" customFormat="1" ht="11.25" customHeight="1">
      <c r="C145" s="243"/>
      <c r="D145" s="260"/>
      <c r="E145" s="246" t="s">
        <v>4120</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43"/>
      <c r="I148" s="2944"/>
      <c r="J148" s="2945"/>
      <c r="K148" s="262" t="s">
        <v>1665</v>
      </c>
      <c r="L148" s="2943"/>
      <c r="M148" s="2987"/>
      <c r="N148" s="2988"/>
      <c r="O148" s="259" t="s">
        <v>3056</v>
      </c>
      <c r="P148" s="261"/>
      <c r="Q148" s="3006"/>
      <c r="R148" s="3007"/>
      <c r="S148" s="3008"/>
      <c r="Z148" s="1618">
        <v>148</v>
      </c>
    </row>
    <row r="149" spans="1:26" s="144" customFormat="1" ht="11.25" customHeight="1">
      <c r="D149" s="260"/>
      <c r="E149" s="246" t="s">
        <v>4120</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3077" t="s">
        <v>3212</v>
      </c>
      <c r="B153" s="3077"/>
      <c r="C153" s="3077"/>
      <c r="D153" s="3077"/>
      <c r="E153" s="3077"/>
      <c r="H153" s="1200" t="s">
        <v>2302</v>
      </c>
      <c r="I153" s="3071" t="s">
        <v>4412</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3715</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4118</v>
      </c>
      <c r="E155" s="256"/>
      <c r="H155" s="1157" t="s">
        <v>3715</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3715</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3715</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3715</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3715</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3715</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3766</v>
      </c>
      <c r="E161" s="256"/>
      <c r="H161" s="1157" t="s">
        <v>3715</v>
      </c>
      <c r="I161" s="2973"/>
      <c r="J161" s="2974"/>
      <c r="K161" s="2974"/>
      <c r="L161" s="2974"/>
      <c r="M161" s="2974"/>
      <c r="N161" s="2974"/>
      <c r="O161" s="2974"/>
      <c r="P161" s="2974"/>
      <c r="Q161" s="2974"/>
      <c r="R161" s="2974"/>
      <c r="S161" s="2975"/>
      <c r="Z161" s="1618">
        <v>161</v>
      </c>
    </row>
    <row r="162" spans="1:26" s="144" customFormat="1" ht="15" customHeight="1" thickBot="1">
      <c r="B162" s="475" t="s">
        <v>3765</v>
      </c>
      <c r="C162" s="3074" t="s">
        <v>4371</v>
      </c>
      <c r="D162" s="3075"/>
      <c r="E162" s="3075"/>
      <c r="F162" s="3075"/>
      <c r="G162" s="3076"/>
      <c r="H162" s="1157" t="s">
        <v>3715</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4372</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3133</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3715</v>
      </c>
      <c r="J171" s="476" t="s">
        <v>3715</v>
      </c>
      <c r="K171" s="476"/>
      <c r="L171" s="637"/>
      <c r="M171" s="481" t="s">
        <v>3715</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3715</v>
      </c>
      <c r="J172" s="477" t="s">
        <v>3715</v>
      </c>
      <c r="K172" s="477"/>
      <c r="L172" s="638"/>
      <c r="M172" s="482" t="s">
        <v>3715</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3715</v>
      </c>
      <c r="J173" s="477" t="s">
        <v>3715</v>
      </c>
      <c r="K173" s="477"/>
      <c r="L173" s="638"/>
      <c r="M173" s="482" t="s">
        <v>3715</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3715</v>
      </c>
      <c r="J174" s="477" t="s">
        <v>3715</v>
      </c>
      <c r="K174" s="477"/>
      <c r="L174" s="638"/>
      <c r="M174" s="482" t="s">
        <v>3715</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3715</v>
      </c>
      <c r="J175" s="477" t="s">
        <v>3715</v>
      </c>
      <c r="K175" s="477"/>
      <c r="L175" s="638"/>
      <c r="M175" s="482" t="s">
        <v>3715</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3715</v>
      </c>
      <c r="J176" s="477" t="s">
        <v>3715</v>
      </c>
      <c r="K176" s="477"/>
      <c r="L176" s="638"/>
      <c r="M176" s="482" t="s">
        <v>3715</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3715</v>
      </c>
      <c r="J177" s="477" t="s">
        <v>3715</v>
      </c>
      <c r="K177" s="477"/>
      <c r="L177" s="638"/>
      <c r="M177" s="482" t="s">
        <v>3715</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3715</v>
      </c>
      <c r="J178" s="477" t="s">
        <v>3715</v>
      </c>
      <c r="K178" s="477"/>
      <c r="L178" s="638"/>
      <c r="M178" s="482" t="s">
        <v>3715</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3715</v>
      </c>
      <c r="J179" s="477" t="s">
        <v>3715</v>
      </c>
      <c r="K179" s="477"/>
      <c r="L179" s="638"/>
      <c r="M179" s="482" t="s">
        <v>3715</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3715</v>
      </c>
      <c r="J180" s="477" t="s">
        <v>3715</v>
      </c>
      <c r="K180" s="477"/>
      <c r="L180" s="638"/>
      <c r="M180" s="482" t="s">
        <v>3715</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3715</v>
      </c>
      <c r="J181" s="477" t="s">
        <v>3715</v>
      </c>
      <c r="K181" s="477"/>
      <c r="L181" s="638"/>
      <c r="M181" s="482" t="s">
        <v>3715</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3715</v>
      </c>
      <c r="J182" s="477" t="s">
        <v>3715</v>
      </c>
      <c r="K182" s="477"/>
      <c r="L182" s="638"/>
      <c r="M182" s="482" t="s">
        <v>3715</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3715</v>
      </c>
      <c r="J183" s="478" t="s">
        <v>3715</v>
      </c>
      <c r="K183" s="478"/>
      <c r="L183" s="639"/>
      <c r="M183" s="483" t="s">
        <v>3715</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Pateville Estates</v>
      </c>
    </row>
    <row r="2" spans="1:14">
      <c r="A2" s="549" t="s">
        <v>2873</v>
      </c>
      <c r="H2" s="431" t="str">
        <f>'Sensitivity Analysis'!E8</f>
        <v>2024-0</v>
      </c>
    </row>
    <row r="3" spans="1:14" ht="3" customHeight="1"/>
    <row r="4" spans="1:14" ht="69.599999999999994" customHeight="1">
      <c r="A4" s="4733" t="s">
        <v>2911</v>
      </c>
      <c r="B4" s="4733"/>
      <c r="C4" s="4733"/>
      <c r="D4" s="4733"/>
      <c r="E4" s="4733"/>
      <c r="F4" s="4733"/>
      <c r="G4" s="4733"/>
      <c r="H4" s="4733"/>
      <c r="I4" s="4733"/>
      <c r="J4" s="4733"/>
      <c r="K4" s="4733"/>
      <c r="L4" s="4775">
        <f>SUM('Part VI-Pro Forma'!B15:B17)/12</f>
        <v>58414.788</v>
      </c>
      <c r="M4" s="4775"/>
      <c r="N4" s="1408" t="s">
        <v>3543</v>
      </c>
    </row>
    <row r="5" spans="1:14" ht="1.5" customHeight="1"/>
    <row r="6" spans="1:14" ht="12.75" customHeight="1">
      <c r="B6" s="623" t="s">
        <v>2234</v>
      </c>
      <c r="C6" s="605" t="s">
        <v>2874</v>
      </c>
      <c r="D6" s="605"/>
      <c r="E6" s="605"/>
      <c r="F6" s="605"/>
      <c r="G6" s="605"/>
      <c r="H6" s="605"/>
    </row>
    <row r="7" spans="1:14" ht="12.75" customHeight="1">
      <c r="B7" s="623" t="s">
        <v>2235</v>
      </c>
      <c r="C7" s="4733" t="s">
        <v>2875</v>
      </c>
      <c r="D7" s="4733"/>
      <c r="E7" s="4733"/>
      <c r="F7" s="4733"/>
      <c r="G7" s="4733"/>
      <c r="H7" s="4733"/>
      <c r="I7" s="4733"/>
      <c r="J7" s="4733"/>
      <c r="K7" s="4733"/>
      <c r="L7" s="4733"/>
      <c r="M7" s="4733"/>
    </row>
    <row r="8" spans="1:14" ht="3" customHeight="1"/>
    <row r="9" spans="1:14">
      <c r="A9" s="431" t="s">
        <v>2876</v>
      </c>
    </row>
    <row r="10" spans="1:14" ht="1.5" customHeight="1"/>
    <row r="11" spans="1:14" ht="26.25" customHeight="1">
      <c r="A11" s="624" t="s">
        <v>1836</v>
      </c>
      <c r="B11" s="4733" t="s">
        <v>2908</v>
      </c>
      <c r="C11" s="4733"/>
      <c r="D11" s="4733"/>
      <c r="E11" s="4733"/>
      <c r="F11" s="4733"/>
      <c r="G11" s="4733"/>
      <c r="H11" s="4733"/>
      <c r="I11" s="4733"/>
      <c r="J11" s="4733"/>
      <c r="K11" s="4733"/>
      <c r="L11" s="4734">
        <f>'Part II-Sources of Funds'!I51+'Part II-Sources of Funds'!I52</f>
        <v>13739084</v>
      </c>
      <c r="M11" s="4734"/>
    </row>
    <row r="12" spans="1:14" ht="1.5" customHeight="1">
      <c r="G12" s="605"/>
      <c r="H12" s="605"/>
    </row>
    <row r="13" spans="1:14" ht="25.9" customHeight="1">
      <c r="A13" s="624" t="s">
        <v>1838</v>
      </c>
      <c r="B13" s="4733" t="s">
        <v>2909</v>
      </c>
      <c r="C13" s="4733"/>
      <c r="D13" s="4733"/>
      <c r="E13" s="4733"/>
      <c r="F13" s="4733"/>
      <c r="G13" s="4733"/>
      <c r="H13" s="4733"/>
      <c r="I13" s="4733"/>
      <c r="J13" s="4733"/>
      <c r="K13" s="4733"/>
      <c r="L13" s="4735" t="s">
        <v>2804</v>
      </c>
      <c r="M13" s="4735"/>
    </row>
    <row r="14" spans="1:14">
      <c r="A14" s="624"/>
      <c r="B14" s="4690"/>
      <c r="C14" s="4690"/>
      <c r="D14" s="4690"/>
      <c r="E14" s="4690"/>
      <c r="F14" s="4690"/>
      <c r="G14" s="4690"/>
      <c r="H14" s="4690"/>
    </row>
    <row r="15" spans="1:14" ht="3" customHeight="1"/>
    <row r="16" spans="1:14">
      <c r="A16" s="624" t="s">
        <v>697</v>
      </c>
      <c r="B16" s="431" t="s">
        <v>2912</v>
      </c>
      <c r="L16" s="4736" t="s">
        <v>2644</v>
      </c>
      <c r="M16" s="4736"/>
    </row>
    <row r="17" spans="1:19" ht="1.5" customHeight="1">
      <c r="L17" s="608"/>
    </row>
    <row r="18" spans="1:19" ht="12" customHeight="1">
      <c r="A18" s="624" t="s">
        <v>1957</v>
      </c>
      <c r="B18" s="605" t="s">
        <v>2910</v>
      </c>
      <c r="C18" s="624"/>
      <c r="D18" s="624"/>
      <c r="E18" s="624"/>
      <c r="L18" s="4690" t="s">
        <v>2507</v>
      </c>
      <c r="M18" s="4690"/>
    </row>
    <row r="19" spans="1:19" ht="12" hidden="1" customHeight="1">
      <c r="B19" s="4690"/>
      <c r="C19" s="4690"/>
      <c r="D19" s="4690"/>
      <c r="E19" s="4690"/>
      <c r="F19" s="4690"/>
      <c r="G19" s="4690"/>
      <c r="H19" s="4690"/>
    </row>
    <row r="20" spans="1:19" ht="13.5" customHeight="1"/>
    <row r="21" spans="1:19" ht="12" customHeight="1">
      <c r="A21" s="549" t="s">
        <v>2877</v>
      </c>
    </row>
    <row r="22" spans="1:19" ht="3" customHeight="1"/>
    <row r="23" spans="1:19" ht="42.6" customHeight="1">
      <c r="A23" s="4737" t="s">
        <v>3950</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30</v>
      </c>
      <c r="H27" s="1499">
        <f>'Part V-Revenues &amp; Expenses'!N58</f>
        <v>15</v>
      </c>
      <c r="I27" s="1499">
        <f>'Part V-Revenues &amp; Expenses'!O58</f>
        <v>15</v>
      </c>
      <c r="J27" s="2457">
        <f>'Part V-Revenues &amp; Expenses'!P58</f>
        <v>60</v>
      </c>
      <c r="K27" s="431"/>
      <c r="S27" s="431"/>
    </row>
    <row r="28" spans="1:19" ht="15" customHeight="1">
      <c r="C28" s="723" t="s">
        <v>112</v>
      </c>
      <c r="D28" s="438"/>
      <c r="E28" s="1498">
        <f>'Part V-Revenues &amp; Expenses'!K59</f>
        <v>0</v>
      </c>
      <c r="F28" s="1499">
        <f>'Part V-Revenues &amp; Expenses'!L59</f>
        <v>0</v>
      </c>
      <c r="G28" s="1499">
        <f>'Part V-Revenues &amp; Expenses'!M59</f>
        <v>8</v>
      </c>
      <c r="H28" s="1499">
        <f>'Part V-Revenues &amp; Expenses'!N59</f>
        <v>4</v>
      </c>
      <c r="I28" s="1499">
        <f>'Part V-Revenues &amp; Expenses'!O59</f>
        <v>4</v>
      </c>
      <c r="J28" s="2457">
        <f>'Part V-Revenues &amp; Expenses'!P59</f>
        <v>16</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0</v>
      </c>
      <c r="G32" s="2459">
        <f>'Part V-Revenues &amp; Expenses'!M63</f>
        <v>38</v>
      </c>
      <c r="H32" s="2459">
        <f>'Part V-Revenues &amp; Expenses'!N63</f>
        <v>19</v>
      </c>
      <c r="I32" s="2459">
        <f>'Part V-Revenues &amp; Expenses'!O63</f>
        <v>19</v>
      </c>
      <c r="J32" s="1500">
        <f>'Part V-Revenues &amp; Expenses'!P63</f>
        <v>76</v>
      </c>
      <c r="K32" s="431"/>
      <c r="S32" s="431"/>
    </row>
    <row r="33" spans="1:12" s="431" customFormat="1" ht="13.15" customHeight="1" thickBot="1">
      <c r="K33" s="1407"/>
    </row>
    <row r="34" spans="1:12" s="431" customFormat="1" ht="14.25" customHeight="1" thickBot="1">
      <c r="A34" s="1407"/>
      <c r="B34" s="4749" t="s">
        <v>4069</v>
      </c>
      <c r="E34" s="4750" t="s">
        <v>3969</v>
      </c>
      <c r="F34" s="4751"/>
      <c r="G34" s="4751"/>
      <c r="H34" s="4751"/>
      <c r="I34" s="4751"/>
      <c r="J34" s="4751"/>
      <c r="K34" s="4751"/>
      <c r="L34" s="4752"/>
    </row>
    <row r="35" spans="1:12" s="431" customFormat="1" ht="14.25" customHeight="1">
      <c r="A35" s="1407"/>
      <c r="B35" s="4749"/>
      <c r="C35" s="4753" t="s">
        <v>4070</v>
      </c>
      <c r="D35" s="4749" t="s">
        <v>4071</v>
      </c>
      <c r="E35" s="4754" t="s">
        <v>3972</v>
      </c>
      <c r="F35" s="4755"/>
      <c r="G35" s="4758" t="s">
        <v>1273</v>
      </c>
      <c r="H35" s="4760" t="s">
        <v>3968</v>
      </c>
      <c r="I35" s="4761"/>
      <c r="J35" s="4761"/>
      <c r="K35" s="4761"/>
      <c r="L35" s="4762"/>
    </row>
    <row r="36" spans="1:12" s="431" customFormat="1" ht="23.25" customHeight="1">
      <c r="A36" s="4753" t="s">
        <v>974</v>
      </c>
      <c r="B36" s="4749"/>
      <c r="C36" s="4753"/>
      <c r="D36" s="4749"/>
      <c r="E36" s="4756"/>
      <c r="F36" s="4757"/>
      <c r="G36" s="4759"/>
      <c r="H36" s="4763" t="s">
        <v>3970</v>
      </c>
      <c r="I36" s="4764"/>
      <c r="J36" s="4767" t="s">
        <v>1273</v>
      </c>
      <c r="K36" s="4764" t="s">
        <v>3971</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60</v>
      </c>
      <c r="B39" s="1487">
        <f>'Part V-Revenues &amp; Expenses'!E18</f>
        <v>30</v>
      </c>
      <c r="C39" s="1488" t="str">
        <f>_xlfn.CONCAT('Part V-Revenues &amp; Expenses'!C18," / ",'Part V-Revenues &amp; Expenses'!D18)</f>
        <v>2 / 2</v>
      </c>
      <c r="D39" s="1487">
        <f>'Part V-Revenues &amp; Expenses'!F18</f>
        <v>1068</v>
      </c>
      <c r="E39" s="4773">
        <f>'Part V-Revenues &amp; Expenses'!H18</f>
        <v>934</v>
      </c>
      <c r="F39" s="4774"/>
      <c r="G39" s="438"/>
      <c r="H39" s="4743"/>
      <c r="I39" s="4744"/>
      <c r="J39" s="4744"/>
      <c r="K39" s="4744"/>
      <c r="L39" s="4745"/>
    </row>
    <row r="40" spans="1:12" s="431" customFormat="1" ht="13.15" customHeight="1">
      <c r="A40" s="1489">
        <f>'Part V-Revenues &amp; Expenses'!B19</f>
        <v>60</v>
      </c>
      <c r="B40" s="1490">
        <f>'Part V-Revenues &amp; Expenses'!E19</f>
        <v>15</v>
      </c>
      <c r="C40" s="1491" t="str">
        <f>_xlfn.CONCAT('Part V-Revenues &amp; Expenses'!C19," / ",'Part V-Revenues &amp; Expenses'!D19)</f>
        <v>3 / 2</v>
      </c>
      <c r="D40" s="1490">
        <f>'Part V-Revenues &amp; Expenses'!F19</f>
        <v>1325</v>
      </c>
      <c r="E40" s="4741">
        <f>'Part V-Revenues &amp; Expenses'!H19</f>
        <v>1065</v>
      </c>
      <c r="F40" s="4742"/>
      <c r="G40" s="438"/>
      <c r="H40" s="4738"/>
      <c r="I40" s="4739"/>
      <c r="J40" s="4739"/>
      <c r="K40" s="4739"/>
      <c r="L40" s="4740"/>
    </row>
    <row r="41" spans="1:12" s="431" customFormat="1" ht="13.15" customHeight="1">
      <c r="A41" s="1489">
        <f>'Part V-Revenues &amp; Expenses'!B20</f>
        <v>60</v>
      </c>
      <c r="B41" s="1490">
        <f>'Part V-Revenues &amp; Expenses'!E20</f>
        <v>10</v>
      </c>
      <c r="C41" s="1491" t="str">
        <f>_xlfn.CONCAT('Part V-Revenues &amp; Expenses'!C20," / ",'Part V-Revenues &amp; Expenses'!D20)</f>
        <v>4 / 2</v>
      </c>
      <c r="D41" s="1490">
        <f>'Part V-Revenues &amp; Expenses'!F20</f>
        <v>1374</v>
      </c>
      <c r="E41" s="4741">
        <f>'Part V-Revenues &amp; Expenses'!H20</f>
        <v>1211</v>
      </c>
      <c r="F41" s="4742"/>
      <c r="G41" s="438"/>
      <c r="H41" s="4738"/>
      <c r="I41" s="4739"/>
      <c r="J41" s="4739"/>
      <c r="K41" s="4739"/>
      <c r="L41" s="4740"/>
    </row>
    <row r="42" spans="1:12" s="431" customFormat="1" ht="13.15" customHeight="1">
      <c r="A42" s="1489">
        <f>'Part V-Revenues &amp; Expenses'!B21</f>
        <v>60</v>
      </c>
      <c r="B42" s="1490">
        <f>'Part V-Revenues &amp; Expenses'!E21</f>
        <v>5</v>
      </c>
      <c r="C42" s="1491" t="str">
        <f>_xlfn.CONCAT('Part V-Revenues &amp; Expenses'!C21," / ",'Part V-Revenues &amp; Expenses'!D21)</f>
        <v>4 / 3</v>
      </c>
      <c r="D42" s="1490">
        <f>'Part V-Revenues &amp; Expenses'!F21</f>
        <v>1469</v>
      </c>
      <c r="E42" s="4741">
        <f>'Part V-Revenues &amp; Expenses'!H21</f>
        <v>1211</v>
      </c>
      <c r="F42" s="4742"/>
      <c r="G42" s="438"/>
      <c r="H42" s="4738"/>
      <c r="I42" s="4739"/>
      <c r="J42" s="4739"/>
      <c r="K42" s="4739"/>
      <c r="L42" s="4740"/>
    </row>
    <row r="43" spans="1:12" s="431" customFormat="1" ht="13.15" customHeight="1">
      <c r="A43" s="1489">
        <f>'Part V-Revenues &amp; Expenses'!B22</f>
        <v>50</v>
      </c>
      <c r="B43" s="1490">
        <f>'Part V-Revenues &amp; Expenses'!E22</f>
        <v>8</v>
      </c>
      <c r="C43" s="1491" t="str">
        <f>_xlfn.CONCAT('Part V-Revenues &amp; Expenses'!C22," / ",'Part V-Revenues &amp; Expenses'!D22)</f>
        <v>2 / 2</v>
      </c>
      <c r="D43" s="1490">
        <f>'Part V-Revenues &amp; Expenses'!F22</f>
        <v>1068</v>
      </c>
      <c r="E43" s="4741">
        <f>'Part V-Revenues &amp; Expenses'!H22</f>
        <v>869</v>
      </c>
      <c r="F43" s="4742"/>
      <c r="G43" s="438"/>
      <c r="H43" s="4738"/>
      <c r="I43" s="4739"/>
      <c r="J43" s="4739"/>
      <c r="K43" s="4739"/>
      <c r="L43" s="4740"/>
    </row>
    <row r="44" spans="1:12" s="431" customFormat="1" ht="13.15" customHeight="1">
      <c r="A44" s="1489">
        <f>'Part V-Revenues &amp; Expenses'!B23</f>
        <v>50</v>
      </c>
      <c r="B44" s="1490">
        <f>'Part V-Revenues &amp; Expenses'!E23</f>
        <v>4</v>
      </c>
      <c r="C44" s="1491" t="str">
        <f>_xlfn.CONCAT('Part V-Revenues &amp; Expenses'!C23," / ",'Part V-Revenues &amp; Expenses'!D23)</f>
        <v>3 / 2</v>
      </c>
      <c r="D44" s="1490">
        <f>'Part V-Revenues &amp; Expenses'!F23</f>
        <v>1325</v>
      </c>
      <c r="E44" s="4741">
        <f>'Part V-Revenues &amp; Expenses'!H23</f>
        <v>1005</v>
      </c>
      <c r="F44" s="4742"/>
      <c r="G44" s="438"/>
      <c r="H44" s="4738"/>
      <c r="I44" s="4739"/>
      <c r="J44" s="4739"/>
      <c r="K44" s="4739"/>
      <c r="L44" s="4740"/>
    </row>
    <row r="45" spans="1:12" s="431" customFormat="1" ht="13.15" customHeight="1">
      <c r="A45" s="1489">
        <f>'Part V-Revenues &amp; Expenses'!B24</f>
        <v>50</v>
      </c>
      <c r="B45" s="1490">
        <f>'Part V-Revenues &amp; Expenses'!E24</f>
        <v>3</v>
      </c>
      <c r="C45" s="1491" t="str">
        <f>_xlfn.CONCAT('Part V-Revenues &amp; Expenses'!C24," / ",'Part V-Revenues &amp; Expenses'!D24)</f>
        <v>4 / 2</v>
      </c>
      <c r="D45" s="1490">
        <f>'Part V-Revenues &amp; Expenses'!F24</f>
        <v>1374</v>
      </c>
      <c r="E45" s="4741">
        <f>'Part V-Revenues &amp; Expenses'!H24</f>
        <v>1121</v>
      </c>
      <c r="F45" s="4742"/>
      <c r="G45" s="438"/>
      <c r="H45" s="4738"/>
      <c r="I45" s="4739"/>
      <c r="J45" s="4739"/>
      <c r="K45" s="4739"/>
      <c r="L45" s="4740"/>
    </row>
    <row r="46" spans="1:12" s="431" customFormat="1" ht="13.15" customHeight="1">
      <c r="A46" s="1489">
        <f>'Part V-Revenues &amp; Expenses'!B25</f>
        <v>50</v>
      </c>
      <c r="B46" s="1490">
        <f>'Part V-Revenues &amp; Expenses'!E25</f>
        <v>1</v>
      </c>
      <c r="C46" s="1491" t="str">
        <f>_xlfn.CONCAT('Part V-Revenues &amp; Expenses'!C25," / ",'Part V-Revenues &amp; Expenses'!D25)</f>
        <v>4 / 3</v>
      </c>
      <c r="D46" s="1490">
        <f>'Part V-Revenues &amp; Expenses'!F25</f>
        <v>1469</v>
      </c>
      <c r="E46" s="4741">
        <f>'Part V-Revenues &amp; Expenses'!H25</f>
        <v>1121</v>
      </c>
      <c r="F46" s="4742"/>
      <c r="G46" s="438"/>
      <c r="H46" s="4738"/>
      <c r="I46" s="4739"/>
      <c r="J46" s="4739"/>
      <c r="K46" s="4739"/>
      <c r="L46" s="4740"/>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38"/>
      <c r="I47" s="4739"/>
      <c r="J47" s="4739"/>
      <c r="K47" s="4739"/>
      <c r="L47" s="474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38"/>
      <c r="I48" s="4739"/>
      <c r="J48" s="4739"/>
      <c r="K48" s="4739"/>
      <c r="L48" s="474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35" t="s">
        <v>4513</v>
      </c>
      <c r="R24" s="4836"/>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9" t="s">
        <v>3783</v>
      </c>
      <c r="R26" s="4839"/>
      <c r="S26" s="144"/>
      <c r="T26" s="144"/>
      <c r="U26" s="144"/>
      <c r="AA26" s="68"/>
      <c r="AB26" s="68"/>
    </row>
    <row r="27" spans="1:28" s="145" customFormat="1" ht="12.75" hidden="1" customHeight="1">
      <c r="A27" s="147"/>
      <c r="B27" s="147"/>
      <c r="C27" s="147"/>
      <c r="K27" s="236" t="s">
        <v>3784</v>
      </c>
      <c r="L27" s="236"/>
      <c r="N27" s="234"/>
      <c r="O27" s="147"/>
      <c r="P27" s="144"/>
      <c r="Q27" s="4840">
        <v>0.2</v>
      </c>
      <c r="R27" s="4841"/>
      <c r="S27" s="144"/>
      <c r="T27" s="144"/>
      <c r="U27" s="144"/>
      <c r="AA27" s="68"/>
      <c r="AB27" s="68"/>
    </row>
    <row r="28" spans="1:28" s="145" customFormat="1" ht="12.75" hidden="1" customHeight="1">
      <c r="A28" s="147"/>
      <c r="B28" s="147"/>
      <c r="C28" s="147"/>
      <c r="K28" s="236" t="s">
        <v>3785</v>
      </c>
      <c r="L28" s="236"/>
      <c r="N28" s="234"/>
      <c r="O28" s="147"/>
      <c r="P28" s="144"/>
      <c r="Q28" s="4824">
        <v>0.15</v>
      </c>
      <c r="R28" s="4825"/>
      <c r="S28" s="144"/>
      <c r="T28" s="144"/>
      <c r="U28" s="144"/>
      <c r="AA28" s="68"/>
      <c r="AB28" s="68"/>
    </row>
    <row r="29" spans="1:28" s="145" customFormat="1" ht="12.75" hidden="1" customHeight="1">
      <c r="A29" s="147"/>
      <c r="B29" s="147"/>
      <c r="C29" s="147"/>
      <c r="K29" s="236" t="s">
        <v>3786</v>
      </c>
      <c r="L29" s="236"/>
      <c r="N29" s="234"/>
      <c r="O29" s="147"/>
      <c r="P29" s="144"/>
      <c r="Q29" s="4824">
        <v>0.15</v>
      </c>
      <c r="R29" s="4825"/>
      <c r="S29" s="144"/>
      <c r="T29" s="144"/>
      <c r="U29" s="144"/>
      <c r="AA29" s="68"/>
      <c r="AB29" s="68"/>
    </row>
    <row r="30" spans="1:28" s="145" customFormat="1" ht="12.75" hidden="1" customHeight="1">
      <c r="A30" s="147"/>
      <c r="B30" s="147"/>
      <c r="C30" s="147"/>
      <c r="K30" s="236" t="s">
        <v>3787</v>
      </c>
      <c r="L30" s="236"/>
      <c r="N30" s="234"/>
      <c r="O30" s="147"/>
      <c r="P30" s="144"/>
      <c r="Q30" s="4824">
        <v>0.1</v>
      </c>
      <c r="R30" s="4825"/>
      <c r="S30" s="144"/>
      <c r="T30" s="144"/>
      <c r="U30" s="144"/>
      <c r="AA30" s="68"/>
      <c r="AB30" s="68"/>
    </row>
    <row r="31" spans="1:28" s="145" customFormat="1" ht="12.75" hidden="1" customHeight="1">
      <c r="A31" s="147"/>
      <c r="B31" s="147"/>
      <c r="C31" s="147"/>
      <c r="K31" s="236" t="s">
        <v>3788</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4881</v>
      </c>
      <c r="D62" s="147"/>
      <c r="E62" s="144"/>
      <c r="F62" s="147" t="s">
        <v>3234</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4882</v>
      </c>
      <c r="G64" s="147"/>
      <c r="H64" s="144"/>
      <c r="I64" s="144"/>
      <c r="Q64" s="4822">
        <v>1500</v>
      </c>
      <c r="R64" s="4823"/>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16" t="s">
        <v>4887</v>
      </c>
      <c r="R67" s="4817"/>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18" t="s">
        <v>4887</v>
      </c>
      <c r="R68" s="4819"/>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0">
        <v>75</v>
      </c>
      <c r="R80" s="4801"/>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3791</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3222</v>
      </c>
      <c r="I125" s="144"/>
      <c r="J125" s="241" t="s">
        <v>4841</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4002</v>
      </c>
      <c r="I135" s="144"/>
      <c r="J135" s="4784">
        <v>0.35</v>
      </c>
      <c r="K135" s="4784"/>
      <c r="L135" s="147"/>
      <c r="M135" s="147"/>
      <c r="N135" s="147"/>
      <c r="O135" s="147"/>
      <c r="P135" s="147"/>
      <c r="Q135" s="147"/>
      <c r="R135" s="147"/>
    </row>
    <row r="136" spans="1:28" ht="11.25" customHeight="1">
      <c r="A136" s="229"/>
      <c r="G136" s="147"/>
      <c r="H136" s="147" t="s">
        <v>2938</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4647</v>
      </c>
      <c r="B150" s="4776"/>
      <c r="C150" s="1910"/>
      <c r="D150" s="4777"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4645</v>
      </c>
      <c r="J152" s="142" t="s">
        <v>747</v>
      </c>
      <c r="K152" s="142"/>
      <c r="L152" s="223"/>
    </row>
    <row r="153" spans="1:28" ht="13.5">
      <c r="A153" s="4776"/>
      <c r="B153" s="4776"/>
      <c r="C153" s="702" t="s">
        <v>750</v>
      </c>
      <c r="D153" s="1241" t="s">
        <v>2923</v>
      </c>
      <c r="F153" s="702" t="s">
        <v>4643</v>
      </c>
      <c r="H153" s="4780"/>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3313</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109"/>
  <sheetViews>
    <sheetView showGridLines="0" topLeftCell="A2" workbookViewId="0">
      <selection activeCell="H32" sqref="H32:K3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Pateville Estates, Cordele, Crisp County</v>
      </c>
      <c r="B2" s="3000"/>
      <c r="C2" s="3000"/>
      <c r="D2" s="3000"/>
      <c r="E2" s="3000"/>
      <c r="F2" s="3000"/>
      <c r="G2" s="3000"/>
      <c r="H2" s="3000"/>
      <c r="I2" s="3000"/>
      <c r="J2" s="3000"/>
      <c r="K2" s="3000"/>
      <c r="L2" s="3000"/>
      <c r="M2" s="3000"/>
      <c r="N2" s="3000"/>
      <c r="O2" s="3000"/>
      <c r="P2" s="3000"/>
      <c r="Q2" s="3001"/>
      <c r="S2" s="3200" t="str">
        <f>$A$2</f>
        <v>PART TWO - SOURCES OF FUNDS (Proposed)  -  2024-0 Pateville Estates, Cordele, Crisp County</v>
      </c>
      <c r="T2" s="3200"/>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c r="F6" s="224" t="s">
        <v>3981</v>
      </c>
      <c r="G6" s="144"/>
      <c r="I6" s="3204"/>
      <c r="J6" s="3205"/>
      <c r="L6" s="1173"/>
      <c r="M6" s="224" t="s">
        <v>1435</v>
      </c>
      <c r="Q6" s="1532"/>
      <c r="S6" s="3110"/>
      <c r="T6" s="3111"/>
      <c r="Y6" s="2475"/>
      <c r="Z6" s="1618">
        <v>6</v>
      </c>
      <c r="AZ6" s="1588"/>
    </row>
    <row r="7" spans="1:52" s="223" customFormat="1" ht="16.5" customHeight="1">
      <c r="A7" s="374"/>
      <c r="B7" s="810"/>
      <c r="C7" s="224" t="s">
        <v>3753</v>
      </c>
      <c r="D7" s="144"/>
      <c r="E7" s="805"/>
      <c r="F7" s="224" t="s">
        <v>3982</v>
      </c>
      <c r="I7" s="3206"/>
      <c r="J7" s="3207"/>
      <c r="L7" s="810"/>
      <c r="M7" s="224" t="s">
        <v>513</v>
      </c>
      <c r="P7" s="1532"/>
      <c r="Q7" s="1532"/>
      <c r="S7" s="3096"/>
      <c r="T7" s="3097"/>
      <c r="Y7" s="2475"/>
      <c r="Z7" s="1618">
        <v>7</v>
      </c>
      <c r="AZ7" s="1588"/>
    </row>
    <row r="8" spans="1:52" s="223" customFormat="1" ht="16.5" customHeight="1">
      <c r="A8" s="144"/>
      <c r="B8" s="810"/>
      <c r="C8" s="224" t="s">
        <v>4555</v>
      </c>
      <c r="F8" s="223" t="s">
        <v>4558</v>
      </c>
      <c r="H8" s="3208" t="s">
        <v>2981</v>
      </c>
      <c r="I8" s="3209"/>
      <c r="J8" s="3210"/>
      <c r="L8" s="810"/>
      <c r="M8" s="224" t="s">
        <v>4560</v>
      </c>
      <c r="P8" s="1532"/>
      <c r="Q8" s="1532"/>
      <c r="S8" s="3096"/>
      <c r="T8" s="3097"/>
      <c r="Y8" s="2475"/>
      <c r="Z8" s="1618">
        <v>8</v>
      </c>
      <c r="AZ8" s="1588"/>
    </row>
    <row r="9" spans="1:52" s="223" customFormat="1" ht="16.5" customHeight="1">
      <c r="A9" s="374"/>
      <c r="B9" s="810"/>
      <c r="C9" s="223" t="s">
        <v>3216</v>
      </c>
      <c r="E9" s="1176"/>
      <c r="F9" s="3211" t="s">
        <v>4554</v>
      </c>
      <c r="G9" s="3212"/>
      <c r="H9" s="3191"/>
      <c r="I9" s="3191"/>
      <c r="J9" s="3192"/>
      <c r="L9" s="810"/>
      <c r="M9" s="224" t="s">
        <v>3754</v>
      </c>
      <c r="Q9" s="1532"/>
      <c r="S9" s="3098"/>
      <c r="T9" s="3099"/>
      <c r="Y9" s="2475"/>
      <c r="Z9" s="1618">
        <v>9</v>
      </c>
      <c r="AZ9" s="1588"/>
    </row>
    <row r="10" spans="1:52" s="223" customFormat="1" ht="16.5" customHeight="1">
      <c r="A10" s="374"/>
      <c r="B10" s="810"/>
      <c r="C10" s="224" t="s">
        <v>2388</v>
      </c>
      <c r="F10" s="3188" t="s">
        <v>3649</v>
      </c>
      <c r="G10" s="3189"/>
      <c r="H10" s="3189"/>
      <c r="I10" s="3189"/>
      <c r="J10" s="3190"/>
      <c r="L10" s="810"/>
      <c r="M10" s="224" t="s">
        <v>3108</v>
      </c>
      <c r="P10" s="1532"/>
      <c r="Q10" s="1532"/>
      <c r="S10" s="3110"/>
      <c r="T10" s="3111"/>
      <c r="Y10" s="2475"/>
      <c r="Z10" s="1618">
        <v>10</v>
      </c>
      <c r="AZ10" s="1588"/>
    </row>
    <row r="11" spans="1:52" s="223" customFormat="1" ht="16.5" customHeight="1">
      <c r="A11" s="374"/>
      <c r="B11" s="810"/>
      <c r="C11" s="224" t="s">
        <v>2389</v>
      </c>
      <c r="E11" s="1176"/>
      <c r="F11" s="3191" t="s">
        <v>4556</v>
      </c>
      <c r="G11" s="3191"/>
      <c r="H11" s="3191"/>
      <c r="I11" s="3191"/>
      <c r="J11" s="3192"/>
      <c r="L11" s="810"/>
      <c r="M11" s="223" t="s">
        <v>2392</v>
      </c>
      <c r="S11" s="3096"/>
      <c r="T11" s="3097"/>
      <c r="Y11" s="2475"/>
      <c r="Z11" s="1618">
        <v>11</v>
      </c>
      <c r="AZ11" s="1588"/>
    </row>
    <row r="12" spans="1:52" s="223" customFormat="1" ht="16.5" customHeight="1">
      <c r="A12" s="374"/>
      <c r="B12" s="810"/>
      <c r="C12" s="224" t="s">
        <v>3109</v>
      </c>
      <c r="F12" s="3193" t="s">
        <v>3650</v>
      </c>
      <c r="G12" s="3194"/>
      <c r="H12" s="3195"/>
      <c r="I12" s="3195"/>
      <c r="J12" s="3196"/>
      <c r="L12" s="810"/>
      <c r="M12" s="223" t="s">
        <v>3135</v>
      </c>
      <c r="S12" s="3096"/>
      <c r="T12" s="3097"/>
      <c r="Y12" s="2475"/>
      <c r="Z12" s="1618">
        <v>12</v>
      </c>
      <c r="AZ12" s="1588"/>
    </row>
    <row r="13" spans="1:52" s="223" customFormat="1" ht="16.5" customHeight="1">
      <c r="A13" s="374"/>
      <c r="B13" s="810"/>
      <c r="C13" s="224" t="s">
        <v>4557</v>
      </c>
      <c r="E13" s="1173"/>
      <c r="F13" s="224" t="s">
        <v>4559</v>
      </c>
      <c r="H13" s="3193" t="s">
        <v>3207</v>
      </c>
      <c r="I13" s="3194"/>
      <c r="J13" s="3197"/>
      <c r="L13" s="810"/>
      <c r="M13" s="223" t="s">
        <v>3980</v>
      </c>
      <c r="S13" s="3096"/>
      <c r="T13" s="3097"/>
      <c r="Y13" s="2475"/>
      <c r="Z13" s="1618">
        <v>13</v>
      </c>
      <c r="AZ13" s="1588"/>
    </row>
    <row r="14" spans="1:52" s="223" customFormat="1" ht="16.5" customHeight="1">
      <c r="A14" s="374"/>
      <c r="B14" s="810"/>
      <c r="C14" s="223" t="s">
        <v>2391</v>
      </c>
      <c r="E14" s="810"/>
      <c r="F14" s="224" t="s">
        <v>3215</v>
      </c>
      <c r="L14" s="810"/>
      <c r="M14" s="223" t="s">
        <v>4605</v>
      </c>
      <c r="S14" s="3098"/>
      <c r="T14" s="3099"/>
      <c r="Y14" s="2475"/>
      <c r="Z14" s="1618">
        <v>14</v>
      </c>
      <c r="AZ14" s="1588"/>
    </row>
    <row r="15" spans="1:52" s="223" customFormat="1" ht="16.5" customHeight="1">
      <c r="A15" s="374"/>
      <c r="B15" s="810"/>
      <c r="C15" s="223" t="s">
        <v>3134</v>
      </c>
      <c r="E15" s="810"/>
      <c r="F15" s="224" t="s">
        <v>3983</v>
      </c>
      <c r="L15" s="810"/>
      <c r="M15" s="1533" t="s">
        <v>3984</v>
      </c>
      <c r="Y15" s="2475"/>
      <c r="Z15" s="1618">
        <v>15</v>
      </c>
      <c r="AZ15" s="1588"/>
    </row>
    <row r="16" spans="1:52" s="223" customFormat="1" ht="16.5" customHeight="1">
      <c r="A16" s="374"/>
      <c r="B16" s="805"/>
      <c r="C16" s="224" t="s">
        <v>1668</v>
      </c>
      <c r="E16" s="805"/>
      <c r="F16" s="224" t="s">
        <v>4397</v>
      </c>
      <c r="I16" s="3198"/>
      <c r="J16" s="3199"/>
      <c r="L16" s="805"/>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3721</v>
      </c>
      <c r="M21" s="3152"/>
      <c r="N21" s="3152" t="s">
        <v>1408</v>
      </c>
      <c r="O21" s="3152"/>
      <c r="P21" s="3152" t="s">
        <v>1521</v>
      </c>
      <c r="Q21" s="3152"/>
      <c r="S21" s="3153" t="s">
        <v>2441</v>
      </c>
      <c r="T21" s="3153"/>
      <c r="Y21" s="2475"/>
      <c r="Z21" s="1618">
        <v>21</v>
      </c>
      <c r="AZ21" s="1588" t="s">
        <v>4238</v>
      </c>
    </row>
    <row r="22" spans="1:52" s="223" customFormat="1" ht="15.75" customHeight="1">
      <c r="A22" s="144"/>
      <c r="B22" s="3142" t="s">
        <v>1484</v>
      </c>
      <c r="C22" s="3143"/>
      <c r="D22" s="3143"/>
      <c r="E22" s="808"/>
      <c r="F22" s="808"/>
      <c r="G22" s="808"/>
      <c r="H22" s="3105" t="s">
        <v>5147</v>
      </c>
      <c r="I22" s="3106"/>
      <c r="J22" s="3106"/>
      <c r="K22" s="3107"/>
      <c r="L22" s="3182">
        <v>12165067</v>
      </c>
      <c r="M22" s="3183"/>
      <c r="N22" s="3184">
        <v>8.5000000000000006E-2</v>
      </c>
      <c r="O22" s="3185"/>
      <c r="P22" s="3186">
        <v>24</v>
      </c>
      <c r="Q22" s="3187"/>
      <c r="S22" s="3110"/>
      <c r="T22" s="3111"/>
      <c r="Y22" s="2475" t="s">
        <v>4238</v>
      </c>
      <c r="Z22" s="1618">
        <v>22</v>
      </c>
      <c r="AZ22" s="1588" t="s">
        <v>4239</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4239</v>
      </c>
      <c r="Z23" s="1618">
        <v>23</v>
      </c>
      <c r="AZ23" s="1588" t="s">
        <v>4240</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4240</v>
      </c>
      <c r="Z24" s="1618">
        <v>24</v>
      </c>
      <c r="AZ24" s="1588" t="s">
        <v>4241</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4241</v>
      </c>
      <c r="Z25" s="1618">
        <v>25</v>
      </c>
      <c r="AZ25" s="1588" t="s">
        <v>4242</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4242</v>
      </c>
      <c r="Z26" s="1618">
        <v>26</v>
      </c>
      <c r="AZ26" s="1588" t="s">
        <v>4243</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4243</v>
      </c>
      <c r="Z27" s="1618">
        <v>27</v>
      </c>
      <c r="AZ27" s="1588" t="s">
        <v>4244</v>
      </c>
    </row>
    <row r="28" spans="1:52" s="223" customFormat="1" ht="15.75" customHeight="1">
      <c r="A28" s="144"/>
      <c r="B28" s="3112" t="s">
        <v>745</v>
      </c>
      <c r="C28" s="3113"/>
      <c r="D28" s="3113"/>
      <c r="E28" s="144"/>
      <c r="H28" s="3078" t="s">
        <v>5148</v>
      </c>
      <c r="I28" s="3079"/>
      <c r="J28" s="3079"/>
      <c r="K28" s="3080"/>
      <c r="L28" s="3162">
        <v>1831816</v>
      </c>
      <c r="M28" s="3163"/>
      <c r="N28" s="144"/>
      <c r="Q28" s="144"/>
      <c r="S28" s="3098"/>
      <c r="T28" s="3099"/>
      <c r="Y28" s="2475" t="s">
        <v>4244</v>
      </c>
      <c r="Z28" s="1618">
        <v>28</v>
      </c>
      <c r="AZ28" s="1588" t="s">
        <v>4245</v>
      </c>
    </row>
    <row r="29" spans="1:52" s="223" customFormat="1" ht="15.75" customHeight="1">
      <c r="A29" s="144"/>
      <c r="B29" s="3112" t="s">
        <v>746</v>
      </c>
      <c r="C29" s="3113"/>
      <c r="D29" s="3113"/>
      <c r="E29" s="144"/>
      <c r="H29" s="3078" t="s">
        <v>5148</v>
      </c>
      <c r="I29" s="3079"/>
      <c r="J29" s="3079"/>
      <c r="K29" s="3080"/>
      <c r="L29" s="3162">
        <v>916000</v>
      </c>
      <c r="M29" s="3163"/>
      <c r="N29" s="144"/>
      <c r="Q29" s="144"/>
      <c r="S29" s="3110"/>
      <c r="T29" s="3111"/>
      <c r="Y29" s="2475" t="s">
        <v>4245</v>
      </c>
      <c r="Z29" s="1618">
        <v>29</v>
      </c>
      <c r="AZ29" s="1588" t="s">
        <v>4246</v>
      </c>
    </row>
    <row r="30" spans="1:52" s="223" customFormat="1" ht="15.75" customHeight="1">
      <c r="A30" s="144"/>
      <c r="B30" s="807" t="s">
        <v>232</v>
      </c>
      <c r="C30" s="144"/>
      <c r="D30" s="3100" t="s">
        <v>5149</v>
      </c>
      <c r="E30" s="3100"/>
      <c r="F30" s="3100"/>
      <c r="G30" s="3100"/>
      <c r="H30" s="3078"/>
      <c r="I30" s="3079"/>
      <c r="J30" s="3079"/>
      <c r="K30" s="3080"/>
      <c r="L30" s="3162">
        <v>110</v>
      </c>
      <c r="M30" s="3163"/>
      <c r="N30" s="144"/>
      <c r="Q30" s="144"/>
      <c r="S30" s="3096"/>
      <c r="T30" s="3097"/>
      <c r="Y30" s="2475" t="s">
        <v>4246</v>
      </c>
      <c r="Z30" s="1618">
        <v>30</v>
      </c>
      <c r="AZ30" s="1588" t="s">
        <v>4247</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4247</v>
      </c>
      <c r="Z31" s="1618">
        <v>31</v>
      </c>
      <c r="AZ31" s="1588" t="s">
        <v>4248</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4248</v>
      </c>
      <c r="Z32" s="1618">
        <v>32</v>
      </c>
      <c r="AZ32" s="1588"/>
    </row>
    <row r="33" spans="1:52" s="223" customFormat="1" ht="16.5" customHeight="1">
      <c r="A33" s="144"/>
      <c r="B33" s="222" t="s">
        <v>1219</v>
      </c>
      <c r="C33" s="144"/>
      <c r="D33" s="144"/>
      <c r="E33" s="144"/>
      <c r="F33" s="144"/>
      <c r="G33" s="144"/>
      <c r="H33" s="144"/>
      <c r="I33" s="144"/>
      <c r="L33" s="3156">
        <f>SUM(L22:L32)</f>
        <v>14912993</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Funds'!$F$123+35720</f>
        <v>14912993</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3720</v>
      </c>
      <c r="J39" s="3152"/>
      <c r="K39" s="445" t="s">
        <v>1670</v>
      </c>
      <c r="L39" s="445" t="s">
        <v>2041</v>
      </c>
      <c r="M39" s="445" t="s">
        <v>2041</v>
      </c>
      <c r="N39" s="3152" t="s">
        <v>69</v>
      </c>
      <c r="O39" s="3152"/>
      <c r="P39" s="3150"/>
      <c r="Q39" s="3150"/>
      <c r="S39" s="3153" t="s">
        <v>2441</v>
      </c>
      <c r="T39" s="3153"/>
      <c r="Y39" s="2475"/>
      <c r="Z39" s="1618">
        <v>39</v>
      </c>
      <c r="AZ39" s="1588" t="s">
        <v>4249</v>
      </c>
    </row>
    <row r="40" spans="1:52" s="223" customFormat="1" ht="15" customHeight="1">
      <c r="A40" s="144"/>
      <c r="B40" s="3142" t="s">
        <v>2396</v>
      </c>
      <c r="C40" s="3143"/>
      <c r="D40" s="3143"/>
      <c r="E40" s="3105" t="s">
        <v>5147</v>
      </c>
      <c r="F40" s="3106"/>
      <c r="G40" s="3106"/>
      <c r="H40" s="3107"/>
      <c r="I40" s="3144">
        <v>3200000</v>
      </c>
      <c r="J40" s="3145"/>
      <c r="K40" s="642">
        <v>7.4999999999999997E-2</v>
      </c>
      <c r="L40" s="809">
        <v>18</v>
      </c>
      <c r="M40" s="809">
        <v>40</v>
      </c>
      <c r="N40" s="3146" t="s">
        <v>5151</v>
      </c>
      <c r="O40" s="3146"/>
      <c r="P40" s="3147">
        <f>IF(OR(I40&lt;=0,I40=""),"",IF(N40="Cash Flow",0,IF(N40="Amortizing",-PMT(K40/12,M40*12,I40,0,0)*12,"")))</f>
        <v>252699.15947102249</v>
      </c>
      <c r="Q40" s="3147"/>
      <c r="S40" s="3110"/>
      <c r="T40" s="3111"/>
      <c r="Y40" s="2475" t="s">
        <v>4249</v>
      </c>
      <c r="Z40" s="1618">
        <v>40</v>
      </c>
      <c r="AZ40" s="1588" t="s">
        <v>4250</v>
      </c>
    </row>
    <row r="41" spans="1:52" s="223" customFormat="1" ht="15" customHeight="1">
      <c r="A41" s="144"/>
      <c r="B41" s="3112" t="s">
        <v>2397</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4250</v>
      </c>
      <c r="Z41" s="1618">
        <v>41</v>
      </c>
      <c r="AZ41" s="1588" t="s">
        <v>4251</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4251</v>
      </c>
      <c r="Z42" s="1618">
        <v>42</v>
      </c>
      <c r="AZ42" s="1588" t="s">
        <v>4252</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4252</v>
      </c>
      <c r="Z43" s="1618">
        <v>43</v>
      </c>
      <c r="AZ43" s="1588" t="s">
        <v>4253</v>
      </c>
    </row>
    <row r="44" spans="1:52" s="223" customFormat="1" ht="15" customHeight="1">
      <c r="A44" s="144"/>
      <c r="B44" s="807" t="s">
        <v>3819</v>
      </c>
      <c r="C44" s="144"/>
      <c r="D44" s="811"/>
      <c r="E44" s="3078"/>
      <c r="F44" s="3079"/>
      <c r="G44" s="3079"/>
      <c r="H44" s="3080"/>
      <c r="I44" s="3081"/>
      <c r="J44" s="3115"/>
      <c r="K44" s="363"/>
      <c r="L44" s="806"/>
      <c r="M44" s="806"/>
      <c r="N44" s="3139"/>
      <c r="O44" s="3139"/>
      <c r="P44" s="3140"/>
      <c r="Q44" s="3140"/>
      <c r="S44" s="3096"/>
      <c r="T44" s="3097"/>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3.3083594566353187E-2</v>
      </c>
      <c r="E45" s="3086" t="s">
        <v>5150</v>
      </c>
      <c r="F45" s="3087"/>
      <c r="G45" s="3087"/>
      <c r="H45" s="3088"/>
      <c r="I45" s="3120">
        <v>63322</v>
      </c>
      <c r="J45" s="3121"/>
      <c r="K45" s="641">
        <v>0</v>
      </c>
      <c r="L45" s="640">
        <v>15</v>
      </c>
      <c r="M45" s="640"/>
      <c r="N45" s="2968" t="s">
        <v>1095</v>
      </c>
      <c r="O45" s="2969"/>
      <c r="P45" s="3122">
        <f>IF(OR(I45&lt;=0,I45=""),"",IF(N45="Cash Flow",0,IF(N45="Amortizing",-PMT(K45/12,M45*12,I45,0,0)*12,"")))</f>
        <v>0</v>
      </c>
      <c r="Q45" s="3123"/>
      <c r="S45" s="3096"/>
      <c r="T45" s="3097"/>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3317</v>
      </c>
      <c r="C47" s="144"/>
      <c r="E47" s="223" t="s">
        <v>3275</v>
      </c>
      <c r="F47" s="3124">
        <f>IF(OR($I$45="",$I$45=0,'Part VI-Pro Forma'!$S$35=0,'Part VI-Pro Forma'!$S$35=""),"",VLOOKUP($L$45,'Part VI-Pro Forma'!$Q$21:$S$40,3))</f>
        <v>1083201.1725420267</v>
      </c>
      <c r="G47" s="3125"/>
      <c r="H47" s="484" t="s">
        <v>3316</v>
      </c>
      <c r="I47" s="3124">
        <f>IF(OR($I$45="",$I$45=0,'Part VI-Pro Forma'!$R$35=0,'Part VI-Pro Forma'!$R$35=""),"",VLOOKUP($L$45,'Part VI-Pro Forma'!$Q$21:$S$35,2))</f>
        <v>63322</v>
      </c>
      <c r="J47" s="3125"/>
      <c r="K47" s="484" t="s">
        <v>3318</v>
      </c>
      <c r="L47" s="3126">
        <f>IF(OR($F$47 = 0,$F$47 =""),"",$I$47/$F$47)</f>
        <v>5.8458208507472041E-2</v>
      </c>
      <c r="M47" s="3127"/>
      <c r="N47" s="3128" t="s">
        <v>3724</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4255</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4255</v>
      </c>
      <c r="Z49" s="1618">
        <v>49</v>
      </c>
      <c r="AZ49" s="1588" t="s">
        <v>4256</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4256</v>
      </c>
      <c r="Z50" s="1618">
        <v>50</v>
      </c>
      <c r="AZ50" s="1588" t="s">
        <v>4257</v>
      </c>
    </row>
    <row r="51" spans="1:52" s="223" customFormat="1" ht="15" customHeight="1">
      <c r="A51" s="144"/>
      <c r="B51" s="3112" t="s">
        <v>745</v>
      </c>
      <c r="C51" s="3113"/>
      <c r="D51" s="3114"/>
      <c r="E51" s="3078" t="s">
        <v>5148</v>
      </c>
      <c r="F51" s="3079"/>
      <c r="G51" s="3079"/>
      <c r="H51" s="3080"/>
      <c r="I51" s="3081">
        <v>9159084</v>
      </c>
      <c r="J51" s="3081"/>
      <c r="L51" s="3118">
        <f>'Part III-A-Uses of Funds'!$J$191*10*'Part III-A-Uses of Funds'!$N$182</f>
        <v>9160000</v>
      </c>
      <c r="M51" s="3118"/>
      <c r="N51" s="3119">
        <f>I51-L51</f>
        <v>-916</v>
      </c>
      <c r="O51" s="3119"/>
      <c r="P51" s="323">
        <f>I51/I61</f>
        <v>0.53868992095052282</v>
      </c>
      <c r="Q51" s="144"/>
      <c r="S51" s="3096"/>
      <c r="T51" s="3097"/>
      <c r="Y51" s="2475" t="s">
        <v>4257</v>
      </c>
      <c r="Z51" s="1618">
        <v>51</v>
      </c>
      <c r="AZ51" s="1588" t="s">
        <v>4258</v>
      </c>
    </row>
    <row r="52" spans="1:52" s="223" customFormat="1" ht="15" customHeight="1">
      <c r="A52" s="144"/>
      <c r="B52" s="3112" t="s">
        <v>746</v>
      </c>
      <c r="C52" s="3113"/>
      <c r="D52" s="3114"/>
      <c r="E52" s="3078" t="s">
        <v>5148</v>
      </c>
      <c r="F52" s="3079"/>
      <c r="G52" s="3079"/>
      <c r="H52" s="3080"/>
      <c r="I52" s="3081">
        <v>4580000</v>
      </c>
      <c r="J52" s="3081"/>
      <c r="L52" s="3118">
        <f>'Part III-A-Uses of Funds'!$J$191*10*'Part III-A-Uses of Funds'!$Q$182</f>
        <v>4580000</v>
      </c>
      <c r="M52" s="3118"/>
      <c r="N52" s="3119">
        <f>I52-L52</f>
        <v>0</v>
      </c>
      <c r="O52" s="3119"/>
      <c r="P52" s="323">
        <f>I52/I61</f>
        <v>0.26937189766502795</v>
      </c>
      <c r="Q52" s="144"/>
      <c r="S52" s="3096"/>
      <c r="T52" s="3097"/>
      <c r="Y52" s="2475" t="s">
        <v>4258</v>
      </c>
      <c r="Z52" s="1618">
        <v>52</v>
      </c>
      <c r="AZ52" s="1588" t="s">
        <v>4259</v>
      </c>
    </row>
    <row r="53" spans="1:52" s="223" customFormat="1" ht="15" customHeight="1">
      <c r="A53" s="144"/>
      <c r="B53" s="3112" t="s">
        <v>1329</v>
      </c>
      <c r="C53" s="3113"/>
      <c r="D53" s="3114"/>
      <c r="E53" s="3078"/>
      <c r="F53" s="3079"/>
      <c r="G53" s="3079"/>
      <c r="H53" s="3080"/>
      <c r="I53" s="3081"/>
      <c r="J53" s="3081"/>
      <c r="P53" s="324">
        <f>SUM(P51:P52)</f>
        <v>0.80806181861555082</v>
      </c>
      <c r="Q53" s="144"/>
      <c r="S53" s="3098"/>
      <c r="T53" s="3099"/>
      <c r="Y53" s="2475" t="s">
        <v>4259</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4260</v>
      </c>
    </row>
    <row r="57" spans="1:52" s="223" customFormat="1" ht="15" customHeight="1">
      <c r="A57" s="144"/>
      <c r="B57" s="807" t="s">
        <v>689</v>
      </c>
      <c r="C57" s="3100" t="s">
        <v>5149</v>
      </c>
      <c r="D57" s="3100"/>
      <c r="E57" s="3078"/>
      <c r="F57" s="3079"/>
      <c r="G57" s="3079"/>
      <c r="H57" s="3080"/>
      <c r="I57" s="3081">
        <v>110</v>
      </c>
      <c r="J57" s="3081"/>
      <c r="M57" s="301"/>
      <c r="N57" s="301"/>
      <c r="O57" s="301"/>
      <c r="P57" s="301"/>
      <c r="Q57" s="144"/>
      <c r="S57" s="3096"/>
      <c r="T57" s="3097"/>
      <c r="Y57" s="2475" t="s">
        <v>4260</v>
      </c>
      <c r="Z57" s="1618">
        <v>57</v>
      </c>
      <c r="AZ57" s="1588" t="s">
        <v>4261</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4261</v>
      </c>
      <c r="Z58" s="1618">
        <v>58</v>
      </c>
      <c r="AZ58" s="1588" t="s">
        <v>4262</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4262</v>
      </c>
      <c r="Z59" s="1618">
        <v>59</v>
      </c>
      <c r="AZ59" s="1588"/>
    </row>
    <row r="60" spans="1:52" s="223" customFormat="1" ht="14.25" customHeight="1">
      <c r="A60" s="144"/>
      <c r="B60" s="246" t="s">
        <v>2043</v>
      </c>
      <c r="C60" s="144"/>
      <c r="D60" s="144"/>
      <c r="E60" s="144"/>
      <c r="F60" s="144"/>
      <c r="G60" s="144"/>
      <c r="I60" s="3090">
        <f>SUM(I40:J45)+SUM(I49:J59)</f>
        <v>17002516</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17002516</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formula1>"Amortizing, Cash Flow"</formula1>
    </dataValidation>
    <dataValidation type="list" allowBlank="1" showInputMessage="1" showErrorMessage="1" sqref="E11 E6:E7 E9 B6:B16 E13:E16 L6:L16">
      <formula1>"Yes, No"</formula1>
    </dataValidation>
    <dataValidation type="list" allowBlank="1" showInputMessage="1" showErrorMessage="1" sqref="N40:O44">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65"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2269</v>
      </c>
      <c r="B51" s="3213"/>
      <c r="C51" s="3213"/>
      <c r="D51" s="3213"/>
      <c r="E51" s="3213"/>
      <c r="F51" s="3213"/>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246"/>
  <sheetViews>
    <sheetView showGridLines="0" topLeftCell="A168" workbookViewId="0">
      <selection activeCell="N179" sqref="N179:Q17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Pateville Estates, Cordele, Crisp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Pateville Estates, Cordele, Crisp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20000</v>
      </c>
      <c r="H9" s="3183"/>
      <c r="J9" s="3182"/>
      <c r="K9" s="3183"/>
      <c r="L9" s="815"/>
      <c r="M9" s="3182"/>
      <c r="N9" s="3183"/>
      <c r="P9" s="3182">
        <v>20000</v>
      </c>
      <c r="Q9" s="3183"/>
      <c r="S9" s="3182"/>
      <c r="T9" s="3183"/>
      <c r="V9" s="836"/>
      <c r="W9" s="3234"/>
      <c r="X9" s="3235"/>
      <c r="AZ9" s="1655"/>
      <c r="BA9" s="1618">
        <v>9</v>
      </c>
    </row>
    <row r="10" spans="1:53" s="144" customFormat="1" ht="11.25" customHeight="1">
      <c r="B10" s="144" t="s">
        <v>430</v>
      </c>
      <c r="G10" s="3162">
        <v>10000</v>
      </c>
      <c r="H10" s="3163"/>
      <c r="J10" s="3162"/>
      <c r="K10" s="3163"/>
      <c r="L10" s="815"/>
      <c r="M10" s="3162"/>
      <c r="N10" s="3163"/>
      <c r="P10" s="3162">
        <v>10000</v>
      </c>
      <c r="Q10" s="3163"/>
      <c r="S10" s="3162"/>
      <c r="T10" s="3163"/>
      <c r="V10" s="836"/>
      <c r="W10" s="3234"/>
      <c r="X10" s="3235"/>
      <c r="AZ10" s="1655"/>
      <c r="BA10" s="1618">
        <v>10</v>
      </c>
    </row>
    <row r="11" spans="1:53" s="144" customFormat="1" ht="11.25" customHeight="1">
      <c r="B11" s="144" t="s">
        <v>457</v>
      </c>
      <c r="G11" s="3162">
        <v>30000</v>
      </c>
      <c r="H11" s="3163"/>
      <c r="J11" s="3162"/>
      <c r="K11" s="3163"/>
      <c r="L11" s="815"/>
      <c r="M11" s="3162"/>
      <c r="N11" s="3163"/>
      <c r="P11" s="3162">
        <v>30000</v>
      </c>
      <c r="Q11" s="3163"/>
      <c r="S11" s="3162"/>
      <c r="T11" s="3163"/>
      <c r="V11" s="836"/>
      <c r="W11" s="3234"/>
      <c r="X11" s="3235"/>
      <c r="AZ11" s="1655"/>
      <c r="BA11" s="1618">
        <v>11</v>
      </c>
    </row>
    <row r="12" spans="1:53" s="144" customFormat="1" ht="11.25" customHeight="1">
      <c r="B12" s="144" t="s">
        <v>458</v>
      </c>
      <c r="G12" s="3162"/>
      <c r="H12" s="3163"/>
      <c r="J12" s="3162"/>
      <c r="K12" s="3163"/>
      <c r="L12" s="815"/>
      <c r="M12" s="3162"/>
      <c r="N12" s="3163"/>
      <c r="P12" s="3162"/>
      <c r="Q12" s="3163"/>
      <c r="S12" s="3162"/>
      <c r="T12" s="3163"/>
      <c r="V12" s="836"/>
      <c r="W12" s="3234"/>
      <c r="X12" s="3235"/>
      <c r="AZ12" s="1655"/>
      <c r="BA12" s="1618">
        <v>12</v>
      </c>
    </row>
    <row r="13" spans="1:53" s="144" customFormat="1" ht="11.25" customHeight="1">
      <c r="B13" s="144" t="s">
        <v>2295</v>
      </c>
      <c r="G13" s="3162">
        <v>15000</v>
      </c>
      <c r="H13" s="3163"/>
      <c r="J13" s="3162"/>
      <c r="K13" s="3163"/>
      <c r="L13" s="815"/>
      <c r="M13" s="3162"/>
      <c r="N13" s="3163"/>
      <c r="P13" s="3162">
        <v>15000</v>
      </c>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4169</v>
      </c>
      <c r="C15" s="3324" t="s">
        <v>4975</v>
      </c>
      <c r="D15" s="3324"/>
      <c r="E15" s="3324"/>
      <c r="F15" s="3325"/>
      <c r="G15" s="3162">
        <v>5000</v>
      </c>
      <c r="H15" s="3163"/>
      <c r="J15" s="3162"/>
      <c r="K15" s="3163"/>
      <c r="L15" s="815"/>
      <c r="M15" s="3162"/>
      <c r="N15" s="3163"/>
      <c r="P15" s="3162">
        <v>5000</v>
      </c>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4263</v>
      </c>
      <c r="BA15" s="1618">
        <v>15</v>
      </c>
    </row>
    <row r="16" spans="1:53" s="144" customFormat="1" ht="11.25" customHeight="1">
      <c r="A16" s="303" t="str">
        <f>IF(AND(G16&gt;0,OR(C16="",C16="&lt;Enter detailed description here; use Comments section if needed&gt;")),"X","")</f>
        <v/>
      </c>
      <c r="B16" s="147" t="s">
        <v>4170</v>
      </c>
      <c r="C16" s="3324" t="s">
        <v>4616</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4264</v>
      </c>
      <c r="BA16" s="1618">
        <v>16</v>
      </c>
    </row>
    <row r="17" spans="1:53" s="144" customFormat="1" ht="11.25" customHeight="1" thickBot="1">
      <c r="A17" s="303" t="str">
        <f>IF(AND(G17&gt;0,OR(C17="",C17="&lt;Enter detailed description here; use Comments section if needed&gt;")),"X","")</f>
        <v/>
      </c>
      <c r="B17" s="147" t="s">
        <v>4171</v>
      </c>
      <c r="C17" s="3324" t="s">
        <v>4616</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4265</v>
      </c>
      <c r="BA17" s="1618">
        <v>17</v>
      </c>
    </row>
    <row r="18" spans="1:53" s="144" customFormat="1" ht="12.6" customHeight="1" thickTop="1">
      <c r="F18" s="281" t="s">
        <v>184</v>
      </c>
      <c r="G18" s="3322">
        <f>SUM(G9:G17)</f>
        <v>80000</v>
      </c>
      <c r="H18" s="3323"/>
      <c r="J18" s="3322">
        <f>SUM(J9:J17)</f>
        <v>0</v>
      </c>
      <c r="K18" s="3323"/>
      <c r="L18" s="815"/>
      <c r="M18" s="3322">
        <f>SUM(M9:M17)</f>
        <v>0</v>
      </c>
      <c r="N18" s="3323"/>
      <c r="P18" s="3322">
        <f>SUM(P9:P17)</f>
        <v>80000</v>
      </c>
      <c r="Q18" s="3323"/>
      <c r="S18" s="3322">
        <f>SUM(S9:S17)</f>
        <v>0</v>
      </c>
      <c r="T18" s="3323"/>
      <c r="V18" s="838">
        <f>SUM(V9:V17)</f>
        <v>0</v>
      </c>
      <c r="W18" s="3306"/>
      <c r="X18" s="3307"/>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21116.138763197585</v>
      </c>
      <c r="G20" s="3182">
        <v>420000</v>
      </c>
      <c r="H20" s="3183"/>
      <c r="J20" s="283"/>
      <c r="K20" s="280"/>
      <c r="L20" s="283"/>
      <c r="M20" s="283"/>
      <c r="N20" s="280"/>
      <c r="P20" s="283"/>
      <c r="Q20" s="280"/>
      <c r="S20" s="3182">
        <v>420000</v>
      </c>
      <c r="T20" s="3183"/>
      <c r="V20" s="836"/>
      <c r="W20" s="3234"/>
      <c r="X20" s="3235"/>
      <c r="AZ20" s="1655"/>
      <c r="BA20" s="1618">
        <v>20</v>
      </c>
    </row>
    <row r="21" spans="1:53" s="144" customFormat="1" ht="11.25" customHeight="1">
      <c r="B21" s="144" t="s">
        <v>1053</v>
      </c>
      <c r="G21" s="3162">
        <v>130000</v>
      </c>
      <c r="H21" s="3163"/>
      <c r="J21" s="283"/>
      <c r="K21" s="280"/>
      <c r="L21" s="283"/>
      <c r="M21" s="283"/>
      <c r="N21" s="280"/>
      <c r="P21" s="283"/>
      <c r="Q21" s="280"/>
      <c r="S21" s="3162">
        <v>130000</v>
      </c>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v>2580000</v>
      </c>
      <c r="H23" s="3333"/>
      <c r="J23" s="283"/>
      <c r="K23" s="280"/>
      <c r="L23" s="283"/>
      <c r="M23" s="3332">
        <v>2580000</v>
      </c>
      <c r="N23" s="3333"/>
      <c r="P23" s="283"/>
      <c r="Q23" s="280"/>
      <c r="S23" s="3332"/>
      <c r="T23" s="3333"/>
      <c r="V23" s="836"/>
      <c r="W23" s="3285"/>
      <c r="X23" s="3286"/>
      <c r="AZ23" s="1655"/>
      <c r="BA23" s="1618">
        <v>23</v>
      </c>
    </row>
    <row r="24" spans="1:53" s="144" customFormat="1" ht="12.6" customHeight="1" thickTop="1">
      <c r="F24" s="281" t="s">
        <v>184</v>
      </c>
      <c r="G24" s="3322">
        <f>SUM(G20:G23)</f>
        <v>3130000</v>
      </c>
      <c r="H24" s="3323"/>
      <c r="J24" s="283"/>
      <c r="K24" s="280"/>
      <c r="L24" s="283"/>
      <c r="M24" s="3322">
        <f>SUM(M22:M23)</f>
        <v>2580000</v>
      </c>
      <c r="N24" s="3323"/>
      <c r="P24" s="283"/>
      <c r="Q24" s="280"/>
      <c r="S24" s="3322">
        <f>SUM(S20:S23)</f>
        <v>550000</v>
      </c>
      <c r="T24" s="3323"/>
      <c r="V24" s="838">
        <f>SUM(V20:V23)</f>
        <v>0</v>
      </c>
      <c r="W24" s="3306"/>
      <c r="X24" s="3307"/>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66867.772750125689</v>
      </c>
      <c r="G26" s="3182">
        <v>1330000</v>
      </c>
      <c r="H26" s="3183"/>
      <c r="J26" s="3182"/>
      <c r="K26" s="3183"/>
      <c r="L26" s="815"/>
      <c r="M26" s="3397"/>
      <c r="N26" s="3398"/>
      <c r="P26" s="3397">
        <v>1197000</v>
      </c>
      <c r="Q26" s="3398"/>
      <c r="S26" s="3182">
        <v>133000</v>
      </c>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1330000</v>
      </c>
      <c r="H28" s="3323"/>
      <c r="J28" s="3322">
        <f>SUM(J26:J27)</f>
        <v>0</v>
      </c>
      <c r="K28" s="3323"/>
      <c r="L28" s="283"/>
      <c r="M28" s="3322">
        <f>M26</f>
        <v>0</v>
      </c>
      <c r="N28" s="3323"/>
      <c r="P28" s="3322">
        <f>P26</f>
        <v>1197000</v>
      </c>
      <c r="Q28" s="3323"/>
      <c r="S28" s="3322">
        <f>SUM(S26:S27)</f>
        <v>133000</v>
      </c>
      <c r="T28" s="3323"/>
      <c r="V28" s="838">
        <f>SUM(V26:V27)</f>
        <v>0</v>
      </c>
      <c r="W28" s="3306"/>
      <c r="X28" s="3307"/>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c r="H30" s="3183"/>
      <c r="J30" s="3182"/>
      <c r="K30" s="3183"/>
      <c r="L30" s="815"/>
      <c r="M30" s="3182"/>
      <c r="N30" s="3183"/>
      <c r="P30" s="3182"/>
      <c r="Q30" s="3183"/>
      <c r="S30" s="3182"/>
      <c r="T30" s="3183"/>
      <c r="V30" s="836"/>
      <c r="W30" s="3234"/>
      <c r="X30" s="3235"/>
      <c r="AZ30" s="1655"/>
      <c r="BA30" s="1618">
        <v>30</v>
      </c>
    </row>
    <row r="31" spans="1:53" s="144" customFormat="1" ht="11.25" customHeight="1">
      <c r="B31" s="144" t="s">
        <v>1059</v>
      </c>
      <c r="G31" s="3162">
        <v>5319800</v>
      </c>
      <c r="H31" s="3163"/>
      <c r="J31" s="3162"/>
      <c r="K31" s="3163"/>
      <c r="L31" s="815"/>
      <c r="M31" s="3162"/>
      <c r="N31" s="3163"/>
      <c r="P31" s="3162">
        <v>5319800</v>
      </c>
      <c r="Q31" s="3163"/>
      <c r="S31" s="3162"/>
      <c r="T31" s="3163"/>
      <c r="V31" s="836"/>
      <c r="W31" s="3234"/>
      <c r="X31" s="3235"/>
      <c r="AZ31" s="1655"/>
      <c r="BA31" s="1618">
        <v>31</v>
      </c>
    </row>
    <row r="32" spans="1:53" s="144" customFormat="1" ht="11.25" customHeight="1">
      <c r="B32" s="144" t="s">
        <v>3990</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3988</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v>380200</v>
      </c>
      <c r="H34" s="3163"/>
      <c r="I34" s="144"/>
      <c r="J34" s="3162"/>
      <c r="K34" s="3163"/>
      <c r="L34" s="815"/>
      <c r="M34" s="3162"/>
      <c r="N34" s="3163"/>
      <c r="O34" s="144"/>
      <c r="P34" s="3162">
        <v>380200</v>
      </c>
      <c r="Q34" s="3163"/>
      <c r="R34" s="144"/>
      <c r="S34" s="3162"/>
      <c r="T34" s="3163"/>
      <c r="V34" s="836"/>
      <c r="W34" s="3285"/>
      <c r="X34" s="3286"/>
      <c r="BA34" s="1618">
        <v>34</v>
      </c>
    </row>
    <row r="35" spans="1:53" ht="11.25" customHeight="1" thickBot="1">
      <c r="B35" s="144" t="s">
        <v>3989</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5700000</v>
      </c>
      <c r="H36" s="3323"/>
      <c r="J36" s="3322">
        <f>SUM(J30:J35)</f>
        <v>0</v>
      </c>
      <c r="K36" s="3323"/>
      <c r="L36" s="815"/>
      <c r="M36" s="3322">
        <f>SUM(M30:M35)</f>
        <v>0</v>
      </c>
      <c r="N36" s="3323"/>
      <c r="P36" s="3322">
        <f>SUM(P30:P35)</f>
        <v>5700000</v>
      </c>
      <c r="Q36" s="3323"/>
      <c r="S36" s="3322">
        <f>SUM(S30:S35)</f>
        <v>0</v>
      </c>
      <c r="T36" s="3323"/>
      <c r="V36" s="838">
        <f>SUM(V30:V35)</f>
        <v>0</v>
      </c>
      <c r="W36" s="3306"/>
      <c r="X36" s="3307"/>
      <c r="AZ36" s="1655" t="s">
        <v>4269</v>
      </c>
      <c r="BA36" s="1618">
        <v>36</v>
      </c>
    </row>
    <row r="37" spans="1:53" s="144" customFormat="1" ht="12" customHeight="1">
      <c r="B37" s="243" t="s">
        <v>2157</v>
      </c>
      <c r="D37" s="3392" t="s">
        <v>3140</v>
      </c>
      <c r="E37" s="3392"/>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421800</v>
      </c>
      <c r="F38" s="1859">
        <f>IF(($G$28+$G$36)=0,0,G38/($G$28+$G$36))</f>
        <v>0.06</v>
      </c>
      <c r="G38" s="3182">
        <v>421800</v>
      </c>
      <c r="H38" s="3183"/>
      <c r="I38" s="145"/>
      <c r="J38" s="3182"/>
      <c r="K38" s="3183"/>
      <c r="L38" s="815"/>
      <c r="M38" s="3182"/>
      <c r="N38" s="3183"/>
      <c r="P38" s="3182">
        <v>421800</v>
      </c>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140600</v>
      </c>
      <c r="F39" s="1859">
        <f>IF(($G$28+$G$36)=0,0,G39/($G$28+$G$36))</f>
        <v>0.02</v>
      </c>
      <c r="G39" s="3162">
        <v>140600</v>
      </c>
      <c r="H39" s="3163"/>
      <c r="I39" s="145"/>
      <c r="J39" s="3162"/>
      <c r="K39" s="3163"/>
      <c r="L39" s="815"/>
      <c r="M39" s="3162"/>
      <c r="N39" s="3163"/>
      <c r="P39" s="3162">
        <v>140600</v>
      </c>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421800</v>
      </c>
      <c r="F40" s="1862">
        <f>IF(($G$28+$G$36)=0,0,G40/($G$28+$G$36))</f>
        <v>0.06</v>
      </c>
      <c r="G40" s="3332">
        <v>421800</v>
      </c>
      <c r="H40" s="3333"/>
      <c r="I40" s="145"/>
      <c r="J40" s="3332"/>
      <c r="K40" s="3333"/>
      <c r="L40" s="815"/>
      <c r="M40" s="3332"/>
      <c r="N40" s="3333"/>
      <c r="P40" s="3332">
        <v>421800</v>
      </c>
      <c r="Q40" s="3333"/>
      <c r="S40" s="3332"/>
      <c r="T40" s="3333"/>
      <c r="V40" s="836"/>
      <c r="W40" s="3285"/>
      <c r="X40" s="3286"/>
      <c r="AZ40" s="1655"/>
      <c r="BA40" s="1618">
        <v>40</v>
      </c>
    </row>
    <row r="41" spans="1:53" s="144" customFormat="1" ht="12.6" customHeight="1" thickTop="1">
      <c r="B41" s="147" t="s">
        <v>3141</v>
      </c>
      <c r="D41" s="748">
        <f>SUM(D38:D40)</f>
        <v>0.14000000000000001</v>
      </c>
      <c r="E41" s="749">
        <f>SUM(E38:E40)</f>
        <v>984200</v>
      </c>
      <c r="F41" s="1856" t="s">
        <v>184</v>
      </c>
      <c r="G41" s="3322">
        <f>SUM(G38:G40)</f>
        <v>984200</v>
      </c>
      <c r="H41" s="3323"/>
      <c r="J41" s="3322">
        <f>SUM(J38:J40)</f>
        <v>0</v>
      </c>
      <c r="K41" s="3323"/>
      <c r="L41" s="283"/>
      <c r="M41" s="3322">
        <f>SUM(M38:M40)</f>
        <v>0</v>
      </c>
      <c r="N41" s="3323"/>
      <c r="P41" s="3322">
        <f>SUM(P38:P40)</f>
        <v>984200</v>
      </c>
      <c r="Q41" s="3323"/>
      <c r="S41" s="3322">
        <f>SUM(S38:S40)</f>
        <v>0</v>
      </c>
      <c r="T41" s="3323"/>
      <c r="V41" s="838">
        <f>SUM(V38:V40)</f>
        <v>0</v>
      </c>
      <c r="W41" s="3306"/>
      <c r="X41" s="3307"/>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388">
        <f>G28+G36+G41</f>
        <v>8014200</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324" t="s">
        <v>4616</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4272</v>
      </c>
      <c r="BA47" s="1618">
        <v>47</v>
      </c>
    </row>
    <row r="48" spans="1:53" s="144" customFormat="1" ht="12.6" customHeight="1">
      <c r="B48" s="1577" t="s">
        <v>2472</v>
      </c>
      <c r="C48" s="1578"/>
      <c r="E48" s="3386" t="s">
        <v>2471</v>
      </c>
      <c r="F48" s="1579">
        <f>C49/'Part V-Revenues &amp; Expenses'!$P$65</f>
        <v>105450</v>
      </c>
      <c r="G48" s="1580" t="s">
        <v>2485</v>
      </c>
      <c r="H48" s="1581"/>
      <c r="I48" s="1581"/>
      <c r="J48" s="3379">
        <f>C49/'Part V-Revenues &amp; Expenses'!$P$67</f>
        <v>105450</v>
      </c>
      <c r="K48" s="3379"/>
      <c r="L48" s="1581"/>
      <c r="M48" s="3380" t="s">
        <v>4373</v>
      </c>
      <c r="N48" s="3380"/>
      <c r="O48" s="1581"/>
      <c r="P48" s="3379">
        <f>C49/'Part V-Revenues &amp; Expenses'!$K$179</f>
        <v>83.78059107017782</v>
      </c>
      <c r="Q48" s="3379"/>
      <c r="R48" s="1581"/>
      <c r="S48" s="3381" t="s">
        <v>4375</v>
      </c>
      <c r="T48" s="3382"/>
      <c r="V48" s="839"/>
      <c r="W48" s="3373"/>
      <c r="X48" s="3374"/>
      <c r="AZ48" s="1655"/>
      <c r="BA48" s="1618">
        <v>48</v>
      </c>
    </row>
    <row r="49" spans="1:53" s="144" customFormat="1" ht="12.6" customHeight="1">
      <c r="B49" s="1626" t="s">
        <v>4386</v>
      </c>
      <c r="C49" s="1625">
        <f>G28+G36+G41+G46</f>
        <v>8014200</v>
      </c>
      <c r="E49" s="3387"/>
      <c r="F49" s="1582">
        <f>C49/'Part V-Revenues &amp; Expenses'!$P$170</f>
        <v>86.700924974306275</v>
      </c>
      <c r="G49" s="1583" t="s">
        <v>2486</v>
      </c>
      <c r="H49" s="1584"/>
      <c r="I49" s="1584"/>
      <c r="J49" s="3369">
        <f>C49/'Part V-Revenues &amp; Expenses'!$P$172</f>
        <v>86.700924974306275</v>
      </c>
      <c r="K49" s="3369"/>
      <c r="L49" s="1584"/>
      <c r="M49" s="3370" t="s">
        <v>4374</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801420</v>
      </c>
      <c r="F55" s="1666">
        <f>G55/C49</f>
        <v>0.1</v>
      </c>
      <c r="G55" s="3383">
        <v>801420</v>
      </c>
      <c r="H55" s="3384"/>
      <c r="I55" s="144"/>
      <c r="J55" s="3383"/>
      <c r="K55" s="3384"/>
      <c r="L55" s="815"/>
      <c r="M55" s="3383"/>
      <c r="N55" s="3384"/>
      <c r="O55" s="144"/>
      <c r="P55" s="3383">
        <v>801420</v>
      </c>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4195</v>
      </c>
      <c r="C57" s="1578"/>
      <c r="E57" s="3377" t="s">
        <v>4196</v>
      </c>
      <c r="F57" s="1579">
        <f>B58/'Part V-Revenues &amp; Expenses'!$P$65</f>
        <v>115995</v>
      </c>
      <c r="G57" s="1580" t="s">
        <v>2485</v>
      </c>
      <c r="H57" s="1581"/>
      <c r="I57" s="1581"/>
      <c r="J57" s="3379">
        <f>B58/'Part V-Revenues &amp; Expenses'!$P$67</f>
        <v>115995</v>
      </c>
      <c r="K57" s="3379"/>
      <c r="L57" s="1581"/>
      <c r="M57" s="3380" t="s">
        <v>4373</v>
      </c>
      <c r="N57" s="3380"/>
      <c r="O57" s="1581"/>
      <c r="P57" s="3379">
        <f>B58/'Part V-Revenues &amp; Expenses'!$K$179</f>
        <v>92.158650177195611</v>
      </c>
      <c r="Q57" s="3379"/>
      <c r="R57" s="1581"/>
      <c r="S57" s="3381" t="s">
        <v>4375</v>
      </c>
      <c r="T57" s="3382"/>
      <c r="V57" s="839"/>
      <c r="W57" s="3373"/>
      <c r="X57" s="3374"/>
      <c r="AZ57" s="1655"/>
      <c r="BA57" s="1618">
        <v>54</v>
      </c>
    </row>
    <row r="58" spans="1:53" s="144" customFormat="1" ht="12.6" customHeight="1">
      <c r="B58" s="3367">
        <f>C49+G55</f>
        <v>8815620</v>
      </c>
      <c r="C58" s="3368"/>
      <c r="E58" s="3378"/>
      <c r="F58" s="1582">
        <f>B58/'Part V-Revenues &amp; Expenses'!$P$170</f>
        <v>95.371017471736891</v>
      </c>
      <c r="G58" s="1583" t="s">
        <v>2486</v>
      </c>
      <c r="H58" s="1584"/>
      <c r="I58" s="1584"/>
      <c r="J58" s="3369">
        <f>B58/'Part V-Revenues &amp; Expenses'!$P$172</f>
        <v>95.371017471736891</v>
      </c>
      <c r="K58" s="3369"/>
      <c r="L58" s="1584"/>
      <c r="M58" s="3370" t="s">
        <v>4374</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3143</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121651</v>
      </c>
      <c r="H63" s="3163"/>
      <c r="J63" s="3162"/>
      <c r="K63" s="3163"/>
      <c r="L63" s="815"/>
      <c r="M63" s="3162"/>
      <c r="N63" s="3163"/>
      <c r="P63" s="3162">
        <v>121651</v>
      </c>
      <c r="Q63" s="3163"/>
      <c r="S63" s="3162"/>
      <c r="T63" s="3163"/>
      <c r="V63" s="840"/>
      <c r="W63" s="3234"/>
      <c r="X63" s="3235"/>
      <c r="AZ63" s="1655"/>
      <c r="BA63" s="1618">
        <v>63</v>
      </c>
    </row>
    <row r="64" spans="1:53" s="144" customFormat="1" ht="12" customHeight="1">
      <c r="B64" s="144" t="s">
        <v>2161</v>
      </c>
      <c r="G64" s="3162">
        <v>963602</v>
      </c>
      <c r="H64" s="3163"/>
      <c r="J64" s="3162"/>
      <c r="K64" s="3163"/>
      <c r="L64" s="815"/>
      <c r="M64" s="3162"/>
      <c r="N64" s="3163"/>
      <c r="P64" s="3162">
        <v>501612</v>
      </c>
      <c r="Q64" s="3163"/>
      <c r="S64" s="3162">
        <v>461990</v>
      </c>
      <c r="T64" s="3163"/>
      <c r="V64" s="840"/>
      <c r="W64" s="3234"/>
      <c r="X64" s="3235"/>
      <c r="AZ64" s="1655"/>
      <c r="BA64" s="1618">
        <v>64</v>
      </c>
    </row>
    <row r="65" spans="1:53" s="144" customFormat="1" ht="12" customHeight="1">
      <c r="B65" s="144" t="s">
        <v>2162</v>
      </c>
      <c r="G65" s="3162">
        <v>40000</v>
      </c>
      <c r="H65" s="3163"/>
      <c r="J65" s="3162"/>
      <c r="K65" s="3163"/>
      <c r="L65" s="815"/>
      <c r="M65" s="3162"/>
      <c r="N65" s="3163"/>
      <c r="P65" s="3162">
        <v>40000</v>
      </c>
      <c r="Q65" s="3163"/>
      <c r="S65" s="3162"/>
      <c r="T65" s="3163"/>
      <c r="V65" s="840"/>
      <c r="W65" s="3234"/>
      <c r="X65" s="3235"/>
      <c r="AZ65" s="1655" t="s">
        <v>4273</v>
      </c>
      <c r="BA65" s="1618">
        <v>65</v>
      </c>
    </row>
    <row r="66" spans="1:53" s="144" customFormat="1" ht="12" customHeight="1">
      <c r="B66" s="144" t="s">
        <v>2443</v>
      </c>
      <c r="G66" s="3162">
        <v>15000</v>
      </c>
      <c r="H66" s="3163"/>
      <c r="J66" s="3162"/>
      <c r="K66" s="3163"/>
      <c r="L66" s="815"/>
      <c r="M66" s="3162"/>
      <c r="N66" s="3163"/>
      <c r="P66" s="3162">
        <v>15000</v>
      </c>
      <c r="Q66" s="3163"/>
      <c r="S66" s="3162"/>
      <c r="T66" s="3163"/>
      <c r="V66" s="840"/>
      <c r="W66" s="3234"/>
      <c r="X66" s="3235"/>
      <c r="AZ66" s="1655" t="s">
        <v>4274</v>
      </c>
      <c r="BA66" s="1618">
        <v>66</v>
      </c>
    </row>
    <row r="67" spans="1:53" s="144" customFormat="1" ht="12" customHeight="1">
      <c r="B67" s="144" t="s">
        <v>675</v>
      </c>
      <c r="G67" s="3162">
        <v>30000</v>
      </c>
      <c r="H67" s="3163"/>
      <c r="J67" s="3162"/>
      <c r="K67" s="3163"/>
      <c r="L67" s="815"/>
      <c r="M67" s="3162"/>
      <c r="N67" s="3163"/>
      <c r="P67" s="3162">
        <v>30000</v>
      </c>
      <c r="Q67" s="3163"/>
      <c r="S67" s="3162"/>
      <c r="T67" s="3163"/>
      <c r="V67" s="840"/>
      <c r="W67" s="3234"/>
      <c r="X67" s="3235"/>
      <c r="AZ67" s="1655" t="s">
        <v>4275</v>
      </c>
      <c r="BA67" s="1618">
        <v>67</v>
      </c>
    </row>
    <row r="68" spans="1:53" s="144" customFormat="1" ht="12" customHeight="1">
      <c r="B68" s="144" t="s">
        <v>2163</v>
      </c>
      <c r="G68" s="3162">
        <v>50000</v>
      </c>
      <c r="H68" s="3163"/>
      <c r="J68" s="3162"/>
      <c r="K68" s="3163"/>
      <c r="L68" s="815"/>
      <c r="M68" s="3162"/>
      <c r="N68" s="3163"/>
      <c r="P68" s="3162">
        <v>50000</v>
      </c>
      <c r="Q68" s="3163"/>
      <c r="S68" s="3162"/>
      <c r="T68" s="3163"/>
      <c r="V68" s="840"/>
      <c r="W68" s="3234"/>
      <c r="X68" s="3235"/>
      <c r="AZ68" s="1655"/>
      <c r="BA68" s="1618">
        <v>68</v>
      </c>
    </row>
    <row r="69" spans="1:53" s="144" customFormat="1" ht="12" customHeight="1">
      <c r="B69" s="144" t="s">
        <v>1198</v>
      </c>
      <c r="G69" s="3162">
        <v>50000</v>
      </c>
      <c r="H69" s="3163"/>
      <c r="J69" s="3162"/>
      <c r="K69" s="3163"/>
      <c r="L69" s="815"/>
      <c r="M69" s="3162"/>
      <c r="N69" s="3163"/>
      <c r="P69" s="3162">
        <v>25000</v>
      </c>
      <c r="Q69" s="3163"/>
      <c r="S69" s="3162">
        <v>25000</v>
      </c>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4174</v>
      </c>
      <c r="C71" s="3359" t="s">
        <v>4616</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4175</v>
      </c>
      <c r="C72" s="3357" t="s">
        <v>4616</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1270253</v>
      </c>
      <c r="H73" s="3323"/>
      <c r="J73" s="3322">
        <f>SUM(J61:J72)</f>
        <v>0</v>
      </c>
      <c r="K73" s="3323"/>
      <c r="L73" s="283"/>
      <c r="M73" s="3322">
        <f>SUM(M61:M72)</f>
        <v>0</v>
      </c>
      <c r="N73" s="3323"/>
      <c r="P73" s="3322">
        <f>SUM(P61:P72)</f>
        <v>783263</v>
      </c>
      <c r="Q73" s="3323"/>
      <c r="S73" s="3322">
        <f>SUM(S61:S72)</f>
        <v>486990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190000</v>
      </c>
      <c r="H75" s="3183"/>
      <c r="J75" s="3182"/>
      <c r="K75" s="3183"/>
      <c r="L75" s="815"/>
      <c r="M75" s="3182"/>
      <c r="N75" s="3183"/>
      <c r="P75" s="3182">
        <v>190000</v>
      </c>
      <c r="Q75" s="3183"/>
      <c r="S75" s="3182"/>
      <c r="T75" s="3183"/>
      <c r="V75" s="836"/>
      <c r="W75" s="3234"/>
      <c r="X75" s="3235"/>
      <c r="AZ75" s="1655"/>
      <c r="BA75" s="1618">
        <v>75</v>
      </c>
    </row>
    <row r="76" spans="1:53" s="144" customFormat="1" ht="12" customHeight="1">
      <c r="B76" s="144" t="s">
        <v>450</v>
      </c>
      <c r="G76" s="3162">
        <v>76000</v>
      </c>
      <c r="H76" s="3163"/>
      <c r="J76" s="3162"/>
      <c r="K76" s="3163"/>
      <c r="L76" s="815"/>
      <c r="M76" s="3162"/>
      <c r="N76" s="3163"/>
      <c r="P76" s="3162">
        <v>76000</v>
      </c>
      <c r="Q76" s="3163"/>
      <c r="S76" s="3162"/>
      <c r="T76" s="3163"/>
      <c r="V76" s="836"/>
      <c r="W76" s="3234"/>
      <c r="X76" s="3235"/>
      <c r="AZ76" s="1655"/>
      <c r="BA76" s="1618">
        <v>76</v>
      </c>
    </row>
    <row r="77" spans="1:53" s="144" customFormat="1" ht="12" customHeight="1">
      <c r="B77" s="144" t="s">
        <v>1060</v>
      </c>
      <c r="D77" s="247"/>
      <c r="E77" s="831"/>
      <c r="F77" s="392"/>
      <c r="G77" s="3162">
        <v>20000</v>
      </c>
      <c r="H77" s="3163"/>
      <c r="J77" s="3162"/>
      <c r="K77" s="3163"/>
      <c r="L77" s="815"/>
      <c r="M77" s="3162"/>
      <c r="N77" s="3163"/>
      <c r="P77" s="3162">
        <v>20000</v>
      </c>
      <c r="Q77" s="3163"/>
      <c r="S77" s="3162"/>
      <c r="T77" s="3163"/>
      <c r="V77" s="836"/>
      <c r="W77" s="3234"/>
      <c r="X77" s="3235"/>
      <c r="AZ77" s="1655"/>
      <c r="BA77" s="1618">
        <v>77</v>
      </c>
    </row>
    <row r="78" spans="1:53" s="144" customFormat="1" ht="12" customHeight="1">
      <c r="B78" s="144" t="s">
        <v>1061</v>
      </c>
      <c r="G78" s="3162">
        <v>15000</v>
      </c>
      <c r="H78" s="3163"/>
      <c r="J78" s="3162"/>
      <c r="K78" s="3163"/>
      <c r="L78" s="815"/>
      <c r="M78" s="3162"/>
      <c r="N78" s="3163"/>
      <c r="P78" s="3162">
        <v>15000</v>
      </c>
      <c r="Q78" s="3163"/>
      <c r="S78" s="3162"/>
      <c r="T78" s="3163"/>
      <c r="V78" s="836"/>
      <c r="W78" s="3234"/>
      <c r="X78" s="3235"/>
      <c r="AZ78" s="1655"/>
      <c r="BA78" s="1618">
        <v>78</v>
      </c>
    </row>
    <row r="79" spans="1:53" s="144" customFormat="1" ht="12" customHeight="1">
      <c r="B79" s="144" t="s">
        <v>1062</v>
      </c>
      <c r="G79" s="3162">
        <v>15000</v>
      </c>
      <c r="H79" s="3163"/>
      <c r="J79" s="3162"/>
      <c r="K79" s="3163"/>
      <c r="L79" s="815"/>
      <c r="M79" s="3162"/>
      <c r="N79" s="3163"/>
      <c r="P79" s="3162">
        <v>15000</v>
      </c>
      <c r="Q79" s="3163"/>
      <c r="S79" s="3162"/>
      <c r="T79" s="3163"/>
      <c r="V79" s="836"/>
      <c r="W79" s="3234"/>
      <c r="X79" s="3235"/>
      <c r="AZ79" s="1655" t="s">
        <v>4276</v>
      </c>
      <c r="BA79" s="1618">
        <v>79</v>
      </c>
    </row>
    <row r="80" spans="1:53" s="144" customFormat="1" ht="12" customHeight="1">
      <c r="B80" s="144" t="s">
        <v>1063</v>
      </c>
      <c r="G80" s="3162">
        <v>20000</v>
      </c>
      <c r="H80" s="3163"/>
      <c r="J80" s="3162"/>
      <c r="K80" s="3163"/>
      <c r="L80" s="815"/>
      <c r="M80" s="3162"/>
      <c r="N80" s="3163"/>
      <c r="P80" s="3162">
        <v>20000</v>
      </c>
      <c r="Q80" s="3163"/>
      <c r="S80" s="3162"/>
      <c r="T80" s="3163"/>
      <c r="V80" s="836"/>
      <c r="W80" s="3234"/>
      <c r="X80" s="3235"/>
      <c r="AZ80" s="1655" t="s">
        <v>4277</v>
      </c>
      <c r="BA80" s="1618">
        <v>80</v>
      </c>
    </row>
    <row r="81" spans="1:53" s="144" customFormat="1" ht="12" customHeight="1">
      <c r="B81" s="144" t="s">
        <v>451</v>
      </c>
      <c r="G81" s="3162">
        <v>30000</v>
      </c>
      <c r="H81" s="3163"/>
      <c r="J81" s="3162"/>
      <c r="K81" s="3163"/>
      <c r="L81" s="815"/>
      <c r="M81" s="3162"/>
      <c r="N81" s="3163"/>
      <c r="P81" s="3162">
        <v>30000</v>
      </c>
      <c r="Q81" s="3163"/>
      <c r="S81" s="3162"/>
      <c r="T81" s="3163"/>
      <c r="V81" s="836"/>
      <c r="W81" s="3234"/>
      <c r="X81" s="3235"/>
      <c r="AZ81" s="1651"/>
      <c r="BA81" s="1618">
        <v>81</v>
      </c>
    </row>
    <row r="82" spans="1:53" s="144" customFormat="1" ht="12" customHeight="1">
      <c r="B82" s="144" t="s">
        <v>452</v>
      </c>
      <c r="G82" s="3162">
        <v>50000</v>
      </c>
      <c r="H82" s="3163"/>
      <c r="J82" s="3162"/>
      <c r="K82" s="3163"/>
      <c r="L82" s="815"/>
      <c r="M82" s="3162"/>
      <c r="N82" s="3163"/>
      <c r="P82" s="3162">
        <v>25000</v>
      </c>
      <c r="Q82" s="3163"/>
      <c r="S82" s="3162">
        <v>25000</v>
      </c>
      <c r="T82" s="3163"/>
      <c r="V82" s="836"/>
      <c r="W82" s="3234"/>
      <c r="X82" s="3235"/>
      <c r="AZ82" s="1655"/>
      <c r="BA82" s="1618">
        <v>82</v>
      </c>
    </row>
    <row r="83" spans="1:53" s="144" customFormat="1" ht="12" customHeight="1">
      <c r="B83" s="144" t="s">
        <v>1894</v>
      </c>
      <c r="G83" s="3162">
        <v>35000</v>
      </c>
      <c r="H83" s="3163"/>
      <c r="J83" s="3162"/>
      <c r="K83" s="3163"/>
      <c r="L83" s="815"/>
      <c r="M83" s="3162"/>
      <c r="N83" s="3163"/>
      <c r="P83" s="3162">
        <v>35000</v>
      </c>
      <c r="Q83" s="3163"/>
      <c r="S83" s="3162"/>
      <c r="T83" s="3163"/>
      <c r="V83" s="836"/>
      <c r="W83" s="3234"/>
      <c r="X83" s="3235"/>
      <c r="AZ83" s="1655"/>
      <c r="BA83" s="1618">
        <v>83</v>
      </c>
    </row>
    <row r="84" spans="1:53" s="144" customFormat="1" ht="12" customHeight="1">
      <c r="B84" s="144" t="s">
        <v>1199</v>
      </c>
      <c r="G84" s="3162">
        <v>10000</v>
      </c>
      <c r="H84" s="3163"/>
      <c r="J84" s="3162"/>
      <c r="K84" s="3163"/>
      <c r="L84" s="815"/>
      <c r="M84" s="3162"/>
      <c r="N84" s="3163"/>
      <c r="P84" s="3162">
        <v>10000</v>
      </c>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4176</v>
      </c>
      <c r="C85" s="3324" t="s">
        <v>4616</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461000</v>
      </c>
      <c r="H86" s="3323"/>
      <c r="J86" s="3322">
        <f>SUM(J75:J85)</f>
        <v>0</v>
      </c>
      <c r="K86" s="3323"/>
      <c r="L86" s="283"/>
      <c r="M86" s="3322">
        <f>SUM(M75:M85)</f>
        <v>0</v>
      </c>
      <c r="N86" s="3323"/>
      <c r="P86" s="3322">
        <f>SUM(P75:P85)</f>
        <v>436000</v>
      </c>
      <c r="Q86" s="3323"/>
      <c r="S86" s="3322">
        <f>SUM(S75:S85)</f>
        <v>25000</v>
      </c>
      <c r="T86" s="3323"/>
      <c r="V86" s="838">
        <f>SUM(V75:V85)</f>
        <v>0</v>
      </c>
      <c r="W86" s="3306"/>
      <c r="X86" s="3307"/>
      <c r="AZ86" s="1655" t="s">
        <v>4278</v>
      </c>
      <c r="BA86" s="1618">
        <v>86</v>
      </c>
    </row>
    <row r="87" spans="1:53" ht="12" customHeight="1">
      <c r="A87" s="144"/>
      <c r="B87" s="243" t="s">
        <v>1191</v>
      </c>
      <c r="C87" s="144"/>
      <c r="D87" s="678" t="s">
        <v>3144</v>
      </c>
      <c r="E87" s="750">
        <f>G92/'Part V-Revenues &amp; Expenses'!$P$67</f>
        <v>328.94736842105266</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25000</v>
      </c>
      <c r="H88" s="3183"/>
      <c r="J88" s="3182"/>
      <c r="K88" s="3183"/>
      <c r="L88" s="815"/>
      <c r="M88" s="3182"/>
      <c r="N88" s="3183"/>
      <c r="P88" s="3182">
        <v>25000</v>
      </c>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c r="G90" s="3162"/>
      <c r="H90" s="3163"/>
      <c r="I90" s="145"/>
      <c r="J90" s="3162"/>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c r="G91" s="3154"/>
      <c r="H91" s="3155"/>
      <c r="I91" s="145"/>
      <c r="J91" s="3154"/>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25000</v>
      </c>
      <c r="H92" s="3323"/>
      <c r="J92" s="3322">
        <f>SUM(J88:J91)</f>
        <v>0</v>
      </c>
      <c r="K92" s="3323"/>
      <c r="L92" s="283"/>
      <c r="M92" s="3322">
        <f>SUM(M88:M91)</f>
        <v>0</v>
      </c>
      <c r="N92" s="3323"/>
      <c r="P92" s="3322">
        <f>SUM(P88:P91)</f>
        <v>25000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82">
        <v>32000</v>
      </c>
      <c r="H97" s="3183"/>
      <c r="J97" s="3356"/>
      <c r="K97" s="3356"/>
      <c r="L97" s="815"/>
      <c r="M97" s="3356"/>
      <c r="N97" s="3356"/>
      <c r="P97" s="3356"/>
      <c r="Q97" s="3356"/>
      <c r="S97" s="3182">
        <v>32000</v>
      </c>
      <c r="T97" s="3183"/>
      <c r="V97" s="836"/>
      <c r="W97" s="3234"/>
      <c r="X97" s="3235"/>
      <c r="AZ97" s="1655" t="s">
        <v>4280</v>
      </c>
      <c r="BA97" s="1618">
        <v>97</v>
      </c>
    </row>
    <row r="98" spans="1:53" s="144" customFormat="1" ht="12" customHeight="1">
      <c r="B98" s="144" t="s">
        <v>1197</v>
      </c>
      <c r="G98" s="3162">
        <v>15000</v>
      </c>
      <c r="H98" s="3163"/>
      <c r="J98" s="3356"/>
      <c r="K98" s="3356"/>
      <c r="L98" s="815"/>
      <c r="M98" s="3356"/>
      <c r="N98" s="3356"/>
      <c r="P98" s="3356"/>
      <c r="Q98" s="3356"/>
      <c r="S98" s="3162">
        <v>15000</v>
      </c>
      <c r="T98" s="3163"/>
      <c r="V98" s="836"/>
      <c r="W98" s="3234"/>
      <c r="X98" s="3235"/>
      <c r="AZ98" s="1655"/>
      <c r="BA98" s="1618">
        <v>98</v>
      </c>
    </row>
    <row r="99" spans="1:53" s="144" customFormat="1" ht="12" customHeight="1">
      <c r="B99" s="144" t="s">
        <v>1198</v>
      </c>
      <c r="G99" s="3162">
        <v>10000</v>
      </c>
      <c r="H99" s="3163"/>
      <c r="J99" s="3356"/>
      <c r="K99" s="3356"/>
      <c r="L99" s="815"/>
      <c r="M99" s="3356"/>
      <c r="N99" s="3356"/>
      <c r="P99" s="3356"/>
      <c r="Q99" s="3356"/>
      <c r="S99" s="3162">
        <v>10000</v>
      </c>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4177</v>
      </c>
      <c r="C102" s="3324" t="s">
        <v>4616</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57000</v>
      </c>
      <c r="H103" s="3323"/>
      <c r="J103" s="3356"/>
      <c r="K103" s="3356"/>
      <c r="L103" s="283"/>
      <c r="M103" s="3356"/>
      <c r="N103" s="3356"/>
      <c r="P103" s="3356"/>
      <c r="Q103" s="3356"/>
      <c r="S103" s="3322">
        <f>SUM(S97:S102)</f>
        <v>57000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82"/>
      <c r="H105" s="3183"/>
      <c r="J105" s="283"/>
      <c r="K105" s="283"/>
      <c r="L105" s="815"/>
      <c r="M105" s="283"/>
      <c r="N105" s="283"/>
      <c r="P105" s="283"/>
      <c r="Q105" s="283"/>
      <c r="S105" s="3182"/>
      <c r="T105" s="3183"/>
      <c r="V105" s="836"/>
      <c r="W105" s="3234"/>
      <c r="X105" s="3235"/>
      <c r="Y105" s="3366"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10000</v>
      </c>
      <c r="H106" s="3163"/>
      <c r="J106" s="283"/>
      <c r="K106" s="283"/>
      <c r="L106" s="290"/>
      <c r="M106" s="283"/>
      <c r="N106" s="283"/>
      <c r="P106" s="283"/>
      <c r="Q106" s="283"/>
      <c r="S106" s="3162">
        <v>10000</v>
      </c>
      <c r="T106" s="3163"/>
      <c r="V106" s="836"/>
      <c r="W106" s="3234"/>
      <c r="X106" s="3235"/>
      <c r="Y106" s="3366"/>
      <c r="AA106" s="1841" t="s">
        <v>3067</v>
      </c>
      <c r="AB106" s="1841"/>
      <c r="AC106" s="1841"/>
      <c r="AD106" s="1842">
        <f>'Part V-Revenues &amp; Expenses'!$P$67</f>
        <v>76</v>
      </c>
      <c r="AZ106" s="1655" t="s">
        <v>4281</v>
      </c>
      <c r="BA106" s="1618">
        <v>106</v>
      </c>
    </row>
    <row r="107" spans="1:53" s="144" customFormat="1" ht="12.6" customHeight="1">
      <c r="B107" s="144" t="s">
        <v>5012</v>
      </c>
      <c r="G107" s="3162">
        <v>2000</v>
      </c>
      <c r="H107" s="3163"/>
      <c r="J107" s="283"/>
      <c r="K107" s="283"/>
      <c r="L107" s="290"/>
      <c r="M107" s="283"/>
      <c r="N107" s="283"/>
      <c r="P107" s="283"/>
      <c r="Q107" s="283"/>
      <c r="S107" s="3162">
        <v>2000</v>
      </c>
      <c r="T107" s="3163"/>
      <c r="V107" s="836"/>
      <c r="W107" s="3234"/>
      <c r="X107" s="3235"/>
      <c r="Y107" s="3366"/>
      <c r="Z107" s="301"/>
      <c r="AA107" s="225" t="s">
        <v>4603</v>
      </c>
      <c r="AB107" s="147"/>
      <c r="AC107" s="147"/>
      <c r="AD107" s="147"/>
      <c r="AF107" s="1846" t="s">
        <v>4604</v>
      </c>
      <c r="AZ107" s="1655" t="s">
        <v>4282</v>
      </c>
      <c r="BA107" s="1618">
        <v>107</v>
      </c>
    </row>
    <row r="108" spans="1:53" s="144" customFormat="1" ht="12.6" customHeight="1">
      <c r="B108" s="144" t="s">
        <v>485</v>
      </c>
      <c r="E108" s="3361">
        <f>ROUNDUP('DCA Underwriting Assumptions'!$Q$70*J191,0)</f>
        <v>91600</v>
      </c>
      <c r="F108" s="3362"/>
      <c r="G108" s="3162">
        <v>91600</v>
      </c>
      <c r="H108" s="3163"/>
      <c r="J108" s="751" t="str">
        <f>IF(E108&gt;G108,"WARNING!  LIHTC Allocation Fee proposed is below minimum required.","")</f>
        <v/>
      </c>
      <c r="K108" s="283"/>
      <c r="L108" s="815"/>
      <c r="M108" s="283"/>
      <c r="N108" s="283"/>
      <c r="P108" s="283"/>
      <c r="Q108" s="283"/>
      <c r="S108" s="3162">
        <v>91600</v>
      </c>
      <c r="T108" s="3163"/>
      <c r="V108" s="836"/>
      <c r="W108" s="3234"/>
      <c r="X108" s="3235"/>
      <c r="Y108" s="3366"/>
      <c r="Z108" s="301"/>
      <c r="AA108" s="147" t="s">
        <v>4599</v>
      </c>
      <c r="AB108" s="147"/>
      <c r="AC108" s="147"/>
      <c r="AD108" s="234">
        <f>'Part V-Revenues &amp; Expenses'!P140+'Part V-Revenues &amp; Expenses'!P141</f>
        <v>76</v>
      </c>
      <c r="AF108" s="1844">
        <f>AD108*'DCA Underwriting Assumptions'!$Q$77</f>
        <v>114000</v>
      </c>
      <c r="AZ108" s="1655" t="s">
        <v>4283</v>
      </c>
      <c r="BA108" s="1618">
        <v>108</v>
      </c>
    </row>
    <row r="109" spans="1:53" s="144" customFormat="1" ht="12.6" customHeight="1">
      <c r="B109" s="144" t="s">
        <v>701</v>
      </c>
      <c r="E109" s="3361">
        <f>AF111+AF115</f>
        <v>114000</v>
      </c>
      <c r="F109" s="3362"/>
      <c r="G109" s="3162">
        <v>114000</v>
      </c>
      <c r="H109" s="3163"/>
      <c r="I109" s="3363" t="str">
        <f>IF(E109&gt;G109,"WARNING!  LIHTC Compliance Fee proposed is below minimum required.","")</f>
        <v/>
      </c>
      <c r="J109" s="3364"/>
      <c r="K109" s="3364"/>
      <c r="L109" s="3364"/>
      <c r="M109" s="3364"/>
      <c r="N109" s="3364"/>
      <c r="O109" s="3364"/>
      <c r="P109" s="3364"/>
      <c r="Q109" s="3364"/>
      <c r="R109" s="3365"/>
      <c r="S109" s="3162">
        <v>114000</v>
      </c>
      <c r="T109" s="3163"/>
      <c r="V109" s="836"/>
      <c r="W109" s="3234"/>
      <c r="X109" s="3235"/>
      <c r="Y109" s="3366"/>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62">
        <v>3000</v>
      </c>
      <c r="H110" s="3163"/>
      <c r="I110" s="3363"/>
      <c r="J110" s="3364"/>
      <c r="K110" s="3364"/>
      <c r="L110" s="3364"/>
      <c r="M110" s="3364"/>
      <c r="N110" s="3364"/>
      <c r="O110" s="3364"/>
      <c r="P110" s="3364"/>
      <c r="Q110" s="3364"/>
      <c r="R110" s="3365"/>
      <c r="S110" s="3162">
        <v>3000</v>
      </c>
      <c r="T110" s="3163"/>
      <c r="V110" s="836"/>
      <c r="W110" s="3234"/>
      <c r="X110" s="3235"/>
      <c r="Y110" s="3366"/>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4601</v>
      </c>
      <c r="AC111" s="147"/>
      <c r="AD111" s="1843">
        <f>SUM(AD108:AD110)</f>
        <v>76</v>
      </c>
      <c r="AF111" s="1845">
        <f>SUM(AF108:AF110)</f>
        <v>114000</v>
      </c>
      <c r="AZ111" s="1655"/>
      <c r="BA111" s="1618">
        <v>111</v>
      </c>
    </row>
    <row r="112" spans="1:53" s="144" customFormat="1" ht="12.6" customHeight="1">
      <c r="A112" s="303" t="str">
        <f>IF(AND(G112&gt;0,OR(C112="",C112="&lt;Enter detailed description here; use Comments section if needed&gt;")),"X","")</f>
        <v/>
      </c>
      <c r="B112" s="147" t="s">
        <v>4173</v>
      </c>
      <c r="C112" s="3359" t="s">
        <v>4616</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357" t="s">
        <v>4616</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0</v>
      </c>
      <c r="AF113" s="1844">
        <f>IF($AD$105="Income Averaging",AD113*'DCA Underwriting Assumptions'!$Q$75,AD113*'DCA Underwriting Assumptions'!$Q$74)</f>
        <v>0</v>
      </c>
      <c r="AZ113" s="1655" t="s">
        <v>4284</v>
      </c>
      <c r="BA113" s="1618">
        <v>113</v>
      </c>
    </row>
    <row r="114" spans="1:53" s="144" customFormat="1" ht="12.6" customHeight="1" thickTop="1">
      <c r="F114" s="281" t="s">
        <v>184</v>
      </c>
      <c r="G114" s="3322">
        <f>SUM(G105:G113)</f>
        <v>228600</v>
      </c>
      <c r="H114" s="3323"/>
      <c r="J114" s="283"/>
      <c r="K114" s="283"/>
      <c r="L114" s="815"/>
      <c r="M114" s="283"/>
      <c r="N114" s="283"/>
      <c r="P114" s="283"/>
      <c r="Q114" s="283"/>
      <c r="S114" s="3322">
        <f>SUM(S105:S113)</f>
        <v>228600</v>
      </c>
      <c r="T114" s="3323"/>
      <c r="V114" s="838">
        <f>SUM(V105:V113)</f>
        <v>0</v>
      </c>
      <c r="W114" s="3274"/>
      <c r="X114" s="3275"/>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0</v>
      </c>
      <c r="AF115" s="1845">
        <f>SUM(AF113:AF114)</f>
        <v>0</v>
      </c>
      <c r="AZ115" s="1631"/>
      <c r="BA115" s="1618">
        <v>115</v>
      </c>
    </row>
    <row r="116" spans="1:53" s="144" customFormat="1" ht="12.6" customHeight="1">
      <c r="B116" s="144" t="s">
        <v>267</v>
      </c>
      <c r="G116" s="3182">
        <v>3000</v>
      </c>
      <c r="H116" s="3183"/>
      <c r="J116" s="3356"/>
      <c r="K116" s="3356"/>
      <c r="L116" s="815"/>
      <c r="M116" s="3356"/>
      <c r="N116" s="3356"/>
      <c r="P116" s="3356"/>
      <c r="Q116" s="3356"/>
      <c r="S116" s="3182">
        <v>3000</v>
      </c>
      <c r="T116" s="3183"/>
      <c r="V116" s="836"/>
      <c r="W116" s="3234"/>
      <c r="X116" s="3235"/>
      <c r="AZ116" s="1631"/>
      <c r="BA116" s="1618">
        <v>116</v>
      </c>
    </row>
    <row r="117" spans="1:53" s="144" customFormat="1" ht="12.6" customHeight="1">
      <c r="B117" s="144" t="s">
        <v>268</v>
      </c>
      <c r="G117" s="3162"/>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v>30000</v>
      </c>
      <c r="H118" s="3163"/>
      <c r="J118" s="3356"/>
      <c r="K118" s="3356"/>
      <c r="L118" s="815"/>
      <c r="M118" s="3356"/>
      <c r="N118" s="3356"/>
      <c r="P118" s="3356"/>
      <c r="Q118" s="3356"/>
      <c r="S118" s="3162">
        <v>30000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4173</v>
      </c>
      <c r="C119" s="3324" t="s">
        <v>4616</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33000</v>
      </c>
      <c r="H120" s="3323"/>
      <c r="J120" s="3356"/>
      <c r="K120" s="3356"/>
      <c r="L120" s="815"/>
      <c r="M120" s="3356"/>
      <c r="N120" s="3356"/>
      <c r="P120" s="3356"/>
      <c r="Q120" s="3356"/>
      <c r="S120" s="3322">
        <f>SUM(S116:S119)</f>
        <v>33000</v>
      </c>
      <c r="T120" s="3323"/>
      <c r="V120" s="838">
        <f>SUM(V116:V119)</f>
        <v>0</v>
      </c>
      <c r="W120" s="3306"/>
      <c r="X120" s="3307"/>
      <c r="AC120" s="3350" t="s">
        <v>3798</v>
      </c>
      <c r="AD120" s="3350" t="s">
        <v>3799</v>
      </c>
      <c r="AE120" s="3352" t="s">
        <v>3802</v>
      </c>
      <c r="AF120" s="3353" t="s">
        <v>3800</v>
      </c>
      <c r="AG120" s="3352" t="s">
        <v>3791</v>
      </c>
      <c r="AH120" s="3355" t="s">
        <v>4636</v>
      </c>
      <c r="AI120" s="3355"/>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51"/>
      <c r="AD121" s="3351"/>
      <c r="AE121" s="3067"/>
      <c r="AF121" s="3354"/>
      <c r="AG121" s="3352"/>
      <c r="AH121" s="3355"/>
      <c r="AI121" s="3355"/>
      <c r="AK121" s="44"/>
      <c r="AZ121" s="1631" t="s">
        <v>4286</v>
      </c>
      <c r="BA121" s="1618">
        <v>121</v>
      </c>
    </row>
    <row r="122" spans="1:53" s="144" customFormat="1" ht="12.6" customHeight="1">
      <c r="B122" s="144" t="s">
        <v>1719</v>
      </c>
      <c r="F122" s="322">
        <f>IF($G$127=0,0,G122/$G$127)</f>
        <v>0.2</v>
      </c>
      <c r="G122" s="3347">
        <v>382800</v>
      </c>
      <c r="H122" s="3347"/>
      <c r="J122" s="3348"/>
      <c r="K122" s="3349"/>
      <c r="L122" s="282"/>
      <c r="M122" s="3348">
        <v>75208</v>
      </c>
      <c r="N122" s="3349"/>
      <c r="P122" s="3348">
        <v>307592</v>
      </c>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1914000</v>
      </c>
      <c r="AG122" s="3344">
        <f>'DCA Underwriting Assumptions'!$Q$89</f>
        <v>2285000</v>
      </c>
      <c r="AH122" s="3338">
        <f>MIN(AF122,AG122)</f>
        <v>1914000</v>
      </c>
      <c r="AI122" s="3339"/>
      <c r="AZ122" s="1631"/>
      <c r="BA122" s="1618">
        <v>122</v>
      </c>
    </row>
    <row r="123" spans="1:53" s="144" customFormat="1" ht="12.6" customHeight="1">
      <c r="B123" s="144" t="s">
        <v>3323</v>
      </c>
      <c r="F123" s="936">
        <v>382800</v>
      </c>
      <c r="G123" s="241" t="s">
        <v>4617</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99000</v>
      </c>
      <c r="AF124" s="3337"/>
      <c r="AG124" s="3346"/>
      <c r="AH124" s="3342"/>
      <c r="AI124" s="3343"/>
      <c r="AZ124" s="1631"/>
      <c r="BA124" s="1618">
        <v>124</v>
      </c>
    </row>
    <row r="125" spans="1:53" s="144" customFormat="1" ht="12.6" customHeight="1">
      <c r="B125" s="144" t="s">
        <v>3079</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1914000</v>
      </c>
      <c r="AG125" s="3335">
        <f>'DCA Underwriting Assumptions'!$Q$90</f>
        <v>4000000</v>
      </c>
      <c r="AH125" s="3338">
        <f>MIN(AF125,AG125)</f>
        <v>1914000</v>
      </c>
      <c r="AI125" s="3339"/>
      <c r="AZ125" s="1631"/>
      <c r="BA125" s="1618">
        <v>125</v>
      </c>
    </row>
    <row r="126" spans="1:53" s="144" customFormat="1" ht="12.6" customHeight="1" thickBot="1">
      <c r="B126" s="144" t="s">
        <v>1712</v>
      </c>
      <c r="F126" s="322">
        <f>IF($G$127=0,0,G126/$G$127)</f>
        <v>0.8</v>
      </c>
      <c r="G126" s="3154">
        <v>1531200</v>
      </c>
      <c r="H126" s="3155"/>
      <c r="J126" s="3154"/>
      <c r="K126" s="3155"/>
      <c r="L126" s="815"/>
      <c r="M126" s="3154">
        <v>300832</v>
      </c>
      <c r="N126" s="3155"/>
      <c r="P126" s="3154">
        <v>1230368</v>
      </c>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36"/>
      <c r="AG126" s="3336"/>
      <c r="AH126" s="3340"/>
      <c r="AI126" s="3341"/>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1914000</v>
      </c>
      <c r="F127" s="281" t="s">
        <v>184</v>
      </c>
      <c r="G127" s="3322">
        <f>SUM(G122:G126)</f>
        <v>1914000</v>
      </c>
      <c r="H127" s="3334"/>
      <c r="J127" s="3322">
        <f>SUM(J122:J126)</f>
        <v>0</v>
      </c>
      <c r="K127" s="3334"/>
      <c r="L127" s="815"/>
      <c r="M127" s="3322">
        <f>SUM(M122:M126)</f>
        <v>376040</v>
      </c>
      <c r="N127" s="3334"/>
      <c r="P127" s="3322">
        <f>SUM(P122:P126)</f>
        <v>1537960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99000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82">
        <v>20000</v>
      </c>
      <c r="H129" s="3183"/>
      <c r="J129" s="291"/>
      <c r="K129" s="291"/>
      <c r="L129" s="291"/>
      <c r="M129" s="291"/>
      <c r="N129" s="291"/>
      <c r="P129" s="291"/>
      <c r="Q129" s="291"/>
      <c r="S129" s="3182">
        <v>20000</v>
      </c>
      <c r="T129" s="3183"/>
      <c r="V129" s="836"/>
      <c r="W129" s="3234"/>
      <c r="X129" s="3235"/>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86991</v>
      </c>
      <c r="G130" s="3162">
        <v>86991</v>
      </c>
      <c r="H130" s="3163"/>
      <c r="J130" s="752" t="str">
        <f>IF(E130&gt;G130,"WARNING! Rent-Up Reserves proposed is below minimum - add comment.","")</f>
        <v/>
      </c>
      <c r="K130" s="752"/>
      <c r="L130" s="815"/>
      <c r="M130" s="737"/>
      <c r="N130" s="737"/>
      <c r="P130" s="737"/>
      <c r="Q130" s="737"/>
      <c r="S130" s="3162">
        <v>86991</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300331.57973551127</v>
      </c>
      <c r="G131" s="3162">
        <v>300332</v>
      </c>
      <c r="H131" s="3163"/>
      <c r="J131" s="752" t="str">
        <f>IF(E131&gt;G131,"WARNING! ODR proposed is below minimum - add comment.","")</f>
        <v/>
      </c>
      <c r="K131" s="290"/>
      <c r="L131" s="290"/>
      <c r="M131" s="290"/>
      <c r="N131" s="290"/>
      <c r="P131" s="290"/>
      <c r="Q131" s="290"/>
      <c r="S131" s="3162">
        <v>300332</v>
      </c>
      <c r="T131" s="3163"/>
      <c r="V131" s="836"/>
      <c r="W131" s="3234"/>
      <c r="X131" s="3235"/>
      <c r="Y131"/>
      <c r="Z131" s="1244"/>
      <c r="AB131" s="236"/>
      <c r="AD131"/>
      <c r="AG131"/>
      <c r="AH131"/>
      <c r="AI131"/>
      <c r="AZ131" s="1655"/>
      <c r="BA131" s="1618">
        <v>131</v>
      </c>
    </row>
    <row r="132" spans="1:53" s="144" customFormat="1" ht="12.6" customHeight="1">
      <c r="B132" s="144" t="s">
        <v>1169</v>
      </c>
      <c r="G132" s="3162">
        <v>35720</v>
      </c>
      <c r="H132" s="3163"/>
      <c r="J132" s="291"/>
      <c r="K132" s="291"/>
      <c r="L132" s="291"/>
      <c r="M132" s="291"/>
      <c r="N132" s="291"/>
      <c r="P132" s="291"/>
      <c r="Q132" s="291"/>
      <c r="S132" s="3162">
        <v>35720</v>
      </c>
      <c r="T132" s="3163"/>
      <c r="V132" s="836"/>
      <c r="W132" s="3234"/>
      <c r="X132" s="3235"/>
      <c r="AZ132" s="1655" t="s">
        <v>4289</v>
      </c>
      <c r="BA132" s="1618">
        <v>132</v>
      </c>
    </row>
    <row r="133" spans="1:53" s="144" customFormat="1" ht="12.6" customHeight="1">
      <c r="B133" s="144" t="s">
        <v>1170</v>
      </c>
      <c r="E133" s="646" t="s">
        <v>3053</v>
      </c>
      <c r="F133" s="364">
        <f>IF('Part V-Revenues &amp; Expenses'!$P$67=0,0,G133/'Part V-Revenues &amp; Expenses'!$P$67)</f>
        <v>592.10526315789468</v>
      </c>
      <c r="G133" s="3162">
        <v>45000</v>
      </c>
      <c r="H133" s="3163"/>
      <c r="J133" s="3182"/>
      <c r="K133" s="3183"/>
      <c r="L133" s="815"/>
      <c r="M133" s="3182"/>
      <c r="N133" s="3183"/>
      <c r="P133" s="3182">
        <v>45000</v>
      </c>
      <c r="Q133" s="3183"/>
      <c r="S133" s="3162"/>
      <c r="T133" s="3163"/>
      <c r="V133" s="836"/>
      <c r="W133" s="3234"/>
      <c r="X133" s="3235"/>
      <c r="AZ133" s="1655" t="s">
        <v>4290</v>
      </c>
      <c r="BA133" s="1618">
        <v>133</v>
      </c>
    </row>
    <row r="134" spans="1:53" s="144" customFormat="1" ht="12.6" customHeight="1" thickBot="1">
      <c r="A134" s="303" t="str">
        <f>IF(AND(G134&gt;0,OR(C134="",C134="&lt;Enter detailed description here; use Comments section if needed&gt;")),"X","")</f>
        <v/>
      </c>
      <c r="B134" s="147" t="s">
        <v>4173</v>
      </c>
      <c r="C134" s="3324" t="s">
        <v>4616</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488043</v>
      </c>
      <c r="H135" s="3323"/>
      <c r="J135" s="3322">
        <f>SUM(J133:J134)</f>
        <v>0</v>
      </c>
      <c r="K135" s="3323"/>
      <c r="L135" s="815"/>
      <c r="M135" s="3322">
        <f>SUM(M133:M134)</f>
        <v>0</v>
      </c>
      <c r="N135" s="3323"/>
      <c r="P135" s="3322">
        <f>SUM(P133:P134)</f>
        <v>45000</v>
      </c>
      <c r="Q135" s="3323"/>
      <c r="S135" s="3322">
        <f>SUM(S129:S134)</f>
        <v>443043</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v>500000</v>
      </c>
      <c r="H142" s="3183"/>
      <c r="J142" s="3182"/>
      <c r="K142" s="3183"/>
      <c r="L142" s="282"/>
      <c r="M142" s="3182"/>
      <c r="N142" s="3183"/>
      <c r="P142" s="3182">
        <v>500000</v>
      </c>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4173</v>
      </c>
      <c r="C143" s="3324" t="s">
        <v>4616</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500000</v>
      </c>
      <c r="H144" s="3323"/>
      <c r="J144" s="3322">
        <f>SUM(J142:J143)</f>
        <v>0</v>
      </c>
      <c r="K144" s="3323"/>
      <c r="L144" s="815"/>
      <c r="M144" s="3322">
        <f>SUM(M142:M143)</f>
        <v>0</v>
      </c>
      <c r="N144" s="3323"/>
      <c r="P144" s="3322">
        <f>SUM(P142:P143)</f>
        <v>500000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19">
        <f>G18+G24+G28+G36+G41+G46+G55+G73+G86+G92+G103+G114+G120+G127+G135+G144</f>
        <v>17002516</v>
      </c>
      <c r="H146" s="3320"/>
      <c r="J146" s="3319">
        <f>J18+J24+J28+J36+J41+J46+J55+J73+J86+J92+J103+J114+J120+J127+J135+J144</f>
        <v>0</v>
      </c>
      <c r="K146" s="3320"/>
      <c r="M146" s="3319">
        <f>M18+M24+M28+M36+M41+M46+M55+M73+M86+M92+M103+M114+M120+M127+M135+M144</f>
        <v>2956040</v>
      </c>
      <c r="N146" s="3320"/>
      <c r="P146" s="3319">
        <f>P18+P24+P28+P36+P41+P46+P55+P73+P86+P92+P103+P114+P120+P127+P135+P144</f>
        <v>12089843</v>
      </c>
      <c r="Q146" s="3320"/>
      <c r="S146" s="3319">
        <f>S18+S24+S28+S36+S41+S46+S55+S73+S86+S92+S103+S114+S120+S127+S135+S144</f>
        <v>1956633</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223717.31578947368</v>
      </c>
      <c r="E148" s="3310"/>
      <c r="F148" s="389" t="s">
        <v>2480</v>
      </c>
      <c r="G148" s="3311">
        <f>IF('Part V-Revenues &amp; Expenses'!$K$179=0,0,G146/'Part V-Revenues &amp; Expenses'!$K$179)</f>
        <v>177.74460834021556</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0</v>
      </c>
      <c r="K162" s="3249"/>
      <c r="M162" s="3299">
        <f>M146</f>
        <v>2956040</v>
      </c>
      <c r="N162" s="3300"/>
      <c r="P162" s="3247">
        <f>P146</f>
        <v>12089843</v>
      </c>
      <c r="Q162" s="3249"/>
      <c r="R162" s="3301" t="s">
        <v>4753</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0</v>
      </c>
      <c r="K164" s="3265"/>
      <c r="M164" s="3244">
        <f>M162</f>
        <v>2956040</v>
      </c>
      <c r="N164" s="3246"/>
      <c r="P164" s="3263">
        <f>P162-P163</f>
        <v>12089843</v>
      </c>
      <c r="Q164" s="3265"/>
      <c r="R164" s="3287" t="s">
        <v>4754</v>
      </c>
      <c r="S164" s="3288"/>
      <c r="T164" s="3289"/>
      <c r="U164" s="1110"/>
      <c r="V164" s="836"/>
      <c r="W164" s="3234"/>
      <c r="X164" s="3235"/>
      <c r="AZ164" s="1655"/>
      <c r="BA164" s="1618">
        <v>164</v>
      </c>
    </row>
    <row r="165" spans="1:53" s="144" customFormat="1" ht="14.1" customHeight="1">
      <c r="B165" s="144" t="s">
        <v>1388</v>
      </c>
      <c r="G165" s="248" t="s">
        <v>1591</v>
      </c>
      <c r="H165" s="3296" t="s">
        <v>5161</v>
      </c>
      <c r="I165" s="3297"/>
      <c r="J165" s="3276">
        <v>1.3</v>
      </c>
      <c r="K165" s="3277"/>
      <c r="M165" s="3298"/>
      <c r="N165" s="3298"/>
      <c r="P165" s="3276">
        <v>1.3</v>
      </c>
      <c r="Q165" s="3277"/>
      <c r="R165" s="3290"/>
      <c r="S165" s="3291"/>
      <c r="T165" s="3292"/>
      <c r="U165" s="1111"/>
      <c r="V165" s="836"/>
      <c r="W165" s="3234"/>
      <c r="X165" s="3235"/>
      <c r="AZ165" s="1655"/>
      <c r="BA165" s="1618">
        <v>165</v>
      </c>
    </row>
    <row r="166" spans="1:53" s="144" customFormat="1" ht="14.1" customHeight="1">
      <c r="B166" s="144" t="s">
        <v>1898</v>
      </c>
      <c r="J166" s="3263">
        <f>J164*J165</f>
        <v>0</v>
      </c>
      <c r="K166" s="3265"/>
      <c r="M166" s="3247">
        <f>+M164</f>
        <v>2956040</v>
      </c>
      <c r="N166" s="3249"/>
      <c r="P166" s="3263">
        <f>P164*P165</f>
        <v>15716795.9</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4755</v>
      </c>
      <c r="S167" s="3281"/>
      <c r="T167" s="3282"/>
      <c r="V167" s="836"/>
      <c r="W167" s="3234"/>
      <c r="X167" s="3235"/>
      <c r="AZ167" s="1655"/>
      <c r="BA167" s="1618">
        <v>167</v>
      </c>
    </row>
    <row r="168" spans="1:53" s="144" customFormat="1" ht="14.1" customHeight="1">
      <c r="B168" s="144" t="s">
        <v>1890</v>
      </c>
      <c r="J168" s="3263">
        <f>J166*J167</f>
        <v>0</v>
      </c>
      <c r="K168" s="3265"/>
      <c r="M168" s="3263">
        <f>M166*M167</f>
        <v>2956040</v>
      </c>
      <c r="N168" s="3265"/>
      <c r="P168" s="3263">
        <f>P166*P167</f>
        <v>15716795.9</v>
      </c>
      <c r="Q168" s="3265"/>
      <c r="V168" s="836"/>
      <c r="W168" s="3234"/>
      <c r="X168" s="3235"/>
      <c r="AZ168" s="1655"/>
      <c r="BA168" s="1618">
        <v>168</v>
      </c>
    </row>
    <row r="169" spans="1:53" s="144" customFormat="1" ht="14.1" customHeight="1">
      <c r="B169" s="144" t="s">
        <v>1891</v>
      </c>
      <c r="J169" s="3276">
        <v>0.09</v>
      </c>
      <c r="K169" s="3277"/>
      <c r="M169" s="3276">
        <v>0.04</v>
      </c>
      <c r="N169" s="3277"/>
      <c r="P169" s="3276">
        <v>0.09</v>
      </c>
      <c r="Q169" s="3277"/>
      <c r="V169" s="836"/>
      <c r="W169" s="3234"/>
      <c r="X169" s="3235"/>
      <c r="AZ169" s="1655"/>
      <c r="BA169" s="1618">
        <v>169</v>
      </c>
    </row>
    <row r="170" spans="1:53" s="144" customFormat="1" ht="14.1" customHeight="1" thickBot="1">
      <c r="B170" s="144" t="s">
        <v>2334</v>
      </c>
      <c r="J170" s="3283">
        <f>J168*J169</f>
        <v>0</v>
      </c>
      <c r="K170" s="3284"/>
      <c r="M170" s="3283">
        <f>M168*M169</f>
        <v>118241.60000000001</v>
      </c>
      <c r="N170" s="3284"/>
      <c r="P170" s="3283">
        <f>P168*P169</f>
        <v>1414511.6310000001</v>
      </c>
      <c r="Q170" s="3284"/>
      <c r="V170" s="843"/>
      <c r="W170" s="3285"/>
      <c r="X170" s="3286"/>
      <c r="AZ170" s="1655"/>
      <c r="BA170" s="1618">
        <v>170</v>
      </c>
    </row>
    <row r="171" spans="1:53" s="144" customFormat="1" ht="14.1" customHeight="1" thickBot="1">
      <c r="B171" s="243" t="s">
        <v>1337</v>
      </c>
      <c r="J171" s="3094">
        <f>ROUNDDOWN(J170+M170+P170,0)</f>
        <v>1532753</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247">
        <f>G146</f>
        <v>17002516</v>
      </c>
      <c r="K176" s="3248"/>
      <c r="L176" s="3249"/>
      <c r="N176" s="3250" t="s">
        <v>4611</v>
      </c>
      <c r="O176" s="3251"/>
      <c r="P176" s="3251"/>
      <c r="Q176" s="3252"/>
      <c r="S176" s="3259" t="s">
        <v>3103</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3200110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13802406</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1380240.6</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1.2000000000000002</v>
      </c>
      <c r="K182" s="3270"/>
      <c r="L182" s="3271"/>
      <c r="M182" s="248" t="s">
        <v>1210</v>
      </c>
      <c r="N182" s="3272">
        <v>0.8</v>
      </c>
      <c r="O182" s="3273"/>
      <c r="P182" s="248" t="s">
        <v>569</v>
      </c>
      <c r="Q182" s="3272">
        <v>0.4</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1150200</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229">
        <v>1145000</v>
      </c>
      <c r="K187" s="3230"/>
      <c r="L187" s="3231"/>
      <c r="Q187" s="147" t="s">
        <v>4145</v>
      </c>
      <c r="R187" s="147"/>
      <c r="S187" s="3232" t="str">
        <f>'Part VIII Scoring Criteria'!$J$12</f>
        <v>Rural</v>
      </c>
      <c r="T187" s="3233"/>
      <c r="U187" s="1534" t="str">
        <f>IF(OR(S187="Atlanta Metro", "Other Metro"), "Metro", IF(S187="Rural","Rural",""))</f>
        <v>Rural</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229">
        <v>1145000</v>
      </c>
      <c r="K189" s="3230"/>
      <c r="L189" s="3231"/>
      <c r="M189" s="3236" t="str">
        <f>IF(J187=0,"",IF(J189&gt;J187,"Request can't exceed Maximum - REVISE (Try Round Down)!",""))</f>
        <v/>
      </c>
      <c r="N189" s="3236"/>
      <c r="O189" s="3236"/>
      <c r="P189" s="3236"/>
      <c r="Q189" s="241" t="s">
        <v>4439</v>
      </c>
      <c r="R189" s="147"/>
      <c r="S189" s="3232" t="str">
        <f>'Part VIII Scoring Criteria'!$F$12</f>
        <v>Preservation</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237">
        <f>IF(J189="",0,+MIN(J187,J189))</f>
        <v>1145000</v>
      </c>
      <c r="K191" s="3238"/>
      <c r="L191" s="3239"/>
      <c r="M191" s="3236"/>
      <c r="N191" s="3236"/>
      <c r="O191" s="3236"/>
      <c r="P191" s="3236"/>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5212</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formula1>"&lt;&lt;Select % of Eligible Basis&gt;&gt;,1.10,1.11,1.12,1.13,1.14,1.15,1.16,1.17,1.18,1.19,1.20,1.21,1.22,1.23,1.24,1.25,1.26,1.27,1.28,1.29,1.30"</formula1>
    </dataValidation>
    <dataValidation type="list" allowBlank="1" showInputMessage="1" showErrorMessage="1" sqref="R164:T16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formula1>"Yes, No"</formula1>
    </dataValidation>
    <dataValidation type="list" allowBlank="1" showInputMessage="1" showErrorMessage="1" sqref="H165">
      <formula1>"&lt;&lt;Select&gt;&gt;,DDA/QCT, State Boost"</formula1>
    </dataValidation>
    <dataValidation type="list" allowBlank="1" showInputMessage="1" showErrorMessage="1" sqref="E90:E91">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2"/>
  <sheetViews>
    <sheetView showGridLines="0" topLeftCell="A67" workbookViewId="0">
      <selection activeCell="F14" sqref="F14:F18"/>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8" t="str">
        <f>CONCATENATE("PART THREE (B) -  OTHER COSTS","  -  ",'Part I-Project Identification'!$O$7," - ",'Part I-Project Identification'!$F$26,"  -  ",'Part I-Project Identification'!$F$27,"  -  ",'Part I-Project Identification'!$J$27,",  ","County")</f>
        <v>PART THREE (B) -  OTHER COSTS  -  2024-0 - Pateville Estates  -  Cordele  -  Crisp,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3130</v>
      </c>
      <c r="B3" s="3421"/>
      <c r="C3" s="3421"/>
      <c r="D3" s="3421"/>
      <c r="E3" s="3421"/>
      <c r="F3" s="3421"/>
      <c r="G3" s="3421"/>
      <c r="H3" s="3422"/>
      <c r="R3" s="2478">
        <v>3</v>
      </c>
    </row>
    <row r="4" spans="1:18" ht="6" customHeight="1">
      <c r="R4" s="2478">
        <v>4</v>
      </c>
    </row>
    <row r="5" spans="1:18" ht="38.25" customHeight="1">
      <c r="A5" s="3423" t="s">
        <v>3192</v>
      </c>
      <c r="B5" s="3423"/>
      <c r="C5" s="3423"/>
      <c r="D5" s="3423"/>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Physical Needs Assessment</v>
      </c>
      <c r="B9" s="3416"/>
      <c r="C9" s="3416"/>
      <c r="D9" s="3417"/>
      <c r="F9" s="3412" t="s">
        <v>5162</v>
      </c>
      <c r="G9" s="713"/>
      <c r="H9" s="3412" t="s">
        <v>5163</v>
      </c>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3125</v>
      </c>
      <c r="B12" s="721">
        <f>'Part III-A-Uses of Funds'!$G$15</f>
        <v>5000</v>
      </c>
      <c r="C12" s="722" t="s">
        <v>1660</v>
      </c>
      <c r="D12" s="721">
        <f>'Part III-A-Uses of Funds'!$J$15+'Part III-A-Uses of Funds'!$M$15+'Part III-A-Uses of Funds'!$P$15</f>
        <v>5000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3124</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3125</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3126</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25.5">
      <c r="A57" s="722" t="s">
        <v>3125</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25.5">
      <c r="A62" s="722" t="s">
        <v>3125</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3127</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25.5">
      <c r="A68" s="722" t="s">
        <v>3125</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3128</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
  <sheetViews>
    <sheetView showGridLines="0" workbookViewId="0">
      <selection activeCell="S5" sqref="S5"/>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Pateville Estates, Cordele, Crisp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4631</v>
      </c>
      <c r="I3" s="3449" t="s">
        <v>5132</v>
      </c>
      <c r="J3" s="3450"/>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5186</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52" t="s">
        <v>5133</v>
      </c>
      <c r="J8" s="3443"/>
      <c r="K8" s="5" t="s">
        <v>504</v>
      </c>
      <c r="L8" s="3444" t="s">
        <v>5134</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5135</v>
      </c>
      <c r="E12" s="3437"/>
      <c r="F12" s="207" t="s">
        <v>415</v>
      </c>
      <c r="G12" s="207"/>
      <c r="H12" s="791"/>
      <c r="I12" s="1203"/>
      <c r="J12" s="1203"/>
      <c r="K12" s="1203">
        <v>12</v>
      </c>
      <c r="L12" s="1203">
        <v>14</v>
      </c>
      <c r="M12" s="1203">
        <v>19</v>
      </c>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c r="K13" s="1204">
        <v>10</v>
      </c>
      <c r="L13" s="1205">
        <v>12</v>
      </c>
      <c r="M13" s="1205">
        <v>15</v>
      </c>
      <c r="O13" s="3426" t="s">
        <v>3191</v>
      </c>
      <c r="P13" s="3426"/>
      <c r="Q13" s="3426"/>
      <c r="AA13" s="2480">
        <v>13</v>
      </c>
    </row>
    <row r="14" spans="1:27" s="6" customFormat="1" ht="12" customHeight="1">
      <c r="B14" s="1212" t="s">
        <v>1491</v>
      </c>
      <c r="C14" s="1213"/>
      <c r="D14" s="3424" t="s">
        <v>1489</v>
      </c>
      <c r="E14" s="3425"/>
      <c r="F14" s="208" t="s">
        <v>415</v>
      </c>
      <c r="G14" s="208"/>
      <c r="H14" s="203"/>
      <c r="I14" s="1204"/>
      <c r="J14" s="1204"/>
      <c r="K14" s="1204">
        <v>19</v>
      </c>
      <c r="L14" s="1205">
        <v>24</v>
      </c>
      <c r="M14" s="1205">
        <v>29</v>
      </c>
      <c r="O14" s="3426"/>
      <c r="P14" s="3426"/>
      <c r="Q14" s="3426"/>
      <c r="AA14" s="2480">
        <v>14</v>
      </c>
    </row>
    <row r="15" spans="1:27" s="6" customFormat="1" ht="12" customHeight="1">
      <c r="B15" s="1214" t="s">
        <v>439</v>
      </c>
      <c r="C15" s="1215"/>
      <c r="D15" s="1214" t="s">
        <v>1489</v>
      </c>
      <c r="E15" s="204"/>
      <c r="F15" s="208" t="s">
        <v>415</v>
      </c>
      <c r="G15" s="208"/>
      <c r="H15" s="789"/>
      <c r="I15" s="1204"/>
      <c r="J15" s="1204"/>
      <c r="K15" s="1204">
        <v>17</v>
      </c>
      <c r="L15" s="1205">
        <v>20</v>
      </c>
      <c r="M15" s="1205">
        <v>28</v>
      </c>
      <c r="O15" s="3426"/>
      <c r="P15" s="3426"/>
      <c r="Q15" s="3426"/>
      <c r="AA15" s="2480">
        <v>15</v>
      </c>
    </row>
    <row r="16" spans="1:27" s="6" customFormat="1" ht="12" customHeight="1">
      <c r="B16" s="1216" t="s">
        <v>3185</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3186</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3187</v>
      </c>
      <c r="C18" s="1213"/>
      <c r="D18" s="1212" t="s">
        <v>1489</v>
      </c>
      <c r="E18" s="788"/>
      <c r="F18" s="208" t="s">
        <v>415</v>
      </c>
      <c r="G18" s="208"/>
      <c r="H18" s="203"/>
      <c r="I18" s="1204"/>
      <c r="J18" s="1204"/>
      <c r="K18" s="1204">
        <v>31</v>
      </c>
      <c r="L18" s="1205">
        <v>37</v>
      </c>
      <c r="M18" s="1205">
        <v>48</v>
      </c>
      <c r="O18" s="3426"/>
      <c r="P18" s="3426"/>
      <c r="Q18" s="3426"/>
      <c r="AA18" s="2480">
        <v>18</v>
      </c>
    </row>
    <row r="19" spans="1:27" s="6" customFormat="1" ht="12" customHeight="1">
      <c r="B19" s="1214" t="s">
        <v>1290</v>
      </c>
      <c r="C19" s="1215"/>
      <c r="D19" s="1220" t="s">
        <v>2992</v>
      </c>
      <c r="E19" s="1202" t="s">
        <v>2641</v>
      </c>
      <c r="F19" s="208" t="s">
        <v>415</v>
      </c>
      <c r="G19" s="208"/>
      <c r="H19" s="789"/>
      <c r="I19" s="1204"/>
      <c r="J19" s="1204"/>
      <c r="K19" s="1204">
        <v>58</v>
      </c>
      <c r="L19" s="1205">
        <v>71</v>
      </c>
      <c r="M19" s="1205">
        <v>85</v>
      </c>
      <c r="O19" s="3426"/>
      <c r="P19" s="3426"/>
      <c r="Q19" s="3426"/>
      <c r="AA19" s="2480">
        <v>19</v>
      </c>
    </row>
    <row r="20" spans="1:27" s="6" customFormat="1" ht="12" customHeight="1">
      <c r="B20" s="1218" t="s">
        <v>1710</v>
      </c>
      <c r="C20" s="1219"/>
      <c r="D20" s="205"/>
      <c r="E20" s="187"/>
      <c r="F20" s="208" t="s">
        <v>415</v>
      </c>
      <c r="G20" s="208"/>
      <c r="H20" s="790"/>
      <c r="I20" s="1204"/>
      <c r="J20" s="1204"/>
      <c r="K20" s="1204">
        <v>17</v>
      </c>
      <c r="L20" s="1205">
        <v>17</v>
      </c>
      <c r="M20" s="1205">
        <v>17</v>
      </c>
      <c r="O20" s="3426"/>
      <c r="P20" s="3426"/>
      <c r="Q20" s="3426"/>
      <c r="AA20" s="2480">
        <v>20</v>
      </c>
    </row>
    <row r="21" spans="1:27" s="6" customFormat="1" ht="12" customHeight="1">
      <c r="B21" s="1218" t="s">
        <v>689</v>
      </c>
      <c r="C21" s="3427" t="s">
        <v>5136</v>
      </c>
      <c r="D21" s="3428"/>
      <c r="E21" s="3429"/>
      <c r="F21" s="209" t="s">
        <v>415</v>
      </c>
      <c r="G21" s="209"/>
      <c r="H21" s="792"/>
      <c r="I21" s="1206"/>
      <c r="J21" s="1206"/>
      <c r="K21" s="1206">
        <v>20</v>
      </c>
      <c r="L21" s="1207">
        <v>20</v>
      </c>
      <c r="M21" s="1207">
        <v>20</v>
      </c>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184</v>
      </c>
      <c r="L22" s="119">
        <f>IF(SUM(L12:L21)=0,0,IF(OR($D12="&lt;&lt;Select Fuel &gt;&gt;",$D13="&lt;&lt;Select Fuel &gt;&gt;",$D14="&lt;&lt;Select Fuel &gt;&gt;"),"Select Fuel",IF($E19="&lt;Select&gt;","Submeter?",SUM(L12:L21))))</f>
        <v>215</v>
      </c>
      <c r="M22" s="119">
        <f>IF(SUM(M12:M21)=0,0,IF(OR($D12="&lt;&lt;Select Fuel &gt;&gt;",$D13="&lt;&lt;Select Fuel &gt;&gt;",$D14="&lt;&lt;Select Fuel &gt;&gt;"),"Select Fuel",IF($E19="&lt;Select&gt;","Submeter?",SUM(M12:M21))))</f>
        <v>261</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3191</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3185</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3186</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3187</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t="s">
        <v>5221</v>
      </c>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formula1>"SF Detached, Semi-Detached, Row House/TH, Low-Rise Apt, Low-Rise Elevator, High-Rise Apt, High-Rise Elevator, Mfd Home"</formula1>
    </dataValidation>
    <dataValidation type="list" allowBlank="1" showInputMessage="1" showErrorMessage="1" sqref="F12:G21 F29:G38">
      <formula1>"X"</formula1>
    </dataValidation>
    <dataValidation type="list" allowBlank="1" showInputMessage="1" showErrorMessage="1" sqref="D13:E14 D30:E31">
      <formula1>"&lt;&lt;Select Fuel &gt;&gt;,Natural Gas, Electric, Propane"</formula1>
    </dataValidation>
    <dataValidation type="list" allowBlank="1" showInputMessage="1" showErrorMessage="1" sqref="E19 E36">
      <formula1>"&lt;Select&gt;,Yes, No"</formula1>
    </dataValidation>
    <dataValidation type="list" allowBlank="1" showInputMessage="1" showErrorMessage="1" sqref="D12:E12 D29:E29">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BC05C5-83E6-43F4-9559-68699623AAD3}"/>
</file>

<file path=customXml/itemProps2.xml><?xml version="1.0" encoding="utf-8"?>
<ds:datastoreItem xmlns:ds="http://schemas.openxmlformats.org/officeDocument/2006/customXml" ds:itemID="{06F09090-1062-4656-B1BF-11A65A1A3B1F}"/>
</file>

<file path=customXml/itemProps3.xml><?xml version="1.0" encoding="utf-8"?>
<ds:datastoreItem xmlns:ds="http://schemas.openxmlformats.org/officeDocument/2006/customXml" ds:itemID="{CAF7E907-E753-4BE9-85BB-0BF4BE0321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2024-04-27T01:04:55Z</cp:lastPrinted>
  <dcterms:created xsi:type="dcterms:W3CDTF">2005-09-15T20:51:37Z</dcterms:created>
  <dcterms:modified xsi:type="dcterms:W3CDTF">2024-05-17T14:20:57Z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