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B7AFC341-828F-4CE6-B3AB-088770FDA260}"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120" yWindow="-120" windowWidth="29040" windowHeight="15840" tabRatio="791"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FedInvCreditEquity">'Part II-Sources of Funds'!$G$9</definedName>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StateInvCreditEquity">'Part II-Sources of Funds'!$H$14</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s="1"/>
  <c r="P141" i="112"/>
  <c r="O141" i="112"/>
  <c r="C63" i="111"/>
  <c r="D63" i="111"/>
  <c r="E63" i="111" s="1"/>
  <c r="F63" i="111" s="1"/>
  <c r="B63" i="111"/>
  <c r="C31" i="111"/>
  <c r="D31" i="111" s="1"/>
  <c r="E31" i="111" s="1"/>
  <c r="F31" i="111" s="1"/>
  <c r="G31" i="111" s="1"/>
  <c r="H31" i="111" s="1"/>
  <c r="I31" i="111" s="1"/>
  <c r="J31" i="111" s="1"/>
  <c r="K31" i="111" s="1"/>
  <c r="I45" i="106" l="1"/>
  <c r="M19" i="120" l="1"/>
  <c r="L19" i="120"/>
  <c r="K19" i="120"/>
  <c r="J19" i="120"/>
  <c r="J81" i="107"/>
  <c r="G85" i="107"/>
  <c r="G81" i="107"/>
  <c r="S82" i="107" l="1"/>
  <c r="G82" i="107"/>
  <c r="J133" i="107"/>
  <c r="G107" i="107"/>
  <c r="J85" i="107"/>
  <c r="J10" i="107" l="1"/>
  <c r="S20" i="107"/>
  <c r="P27" i="112"/>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32"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O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MM452" i="121" s="1"/>
  <c r="P452" i="121"/>
  <c r="Q452" i="121"/>
  <c r="N453" i="121"/>
  <c r="O453" i="121"/>
  <c r="P453" i="121"/>
  <c r="Q453" i="121"/>
  <c r="IZ453" i="121" s="1"/>
  <c r="N454" i="121"/>
  <c r="O454" i="121"/>
  <c r="ML454" i="121" s="1"/>
  <c r="P454" i="121"/>
  <c r="Q454" i="121"/>
  <c r="N455" i="121"/>
  <c r="O455" i="121"/>
  <c r="P455" i="121"/>
  <c r="Q455" i="121"/>
  <c r="N456" i="121"/>
  <c r="O456" i="121"/>
  <c r="IC456" i="121" s="1"/>
  <c r="P456" i="121"/>
  <c r="Q456" i="121"/>
  <c r="N457" i="121"/>
  <c r="O457" i="121"/>
  <c r="P457" i="121"/>
  <c r="Q457" i="121"/>
  <c r="N458" i="121"/>
  <c r="O458" i="121"/>
  <c r="IN458" i="121" s="1"/>
  <c r="P458" i="121"/>
  <c r="Q458" i="121"/>
  <c r="N459" i="121"/>
  <c r="O459" i="121"/>
  <c r="P459" i="121"/>
  <c r="Q459" i="121"/>
  <c r="N460" i="121"/>
  <c r="O460" i="121"/>
  <c r="MM460" i="121" s="1"/>
  <c r="P460" i="121"/>
  <c r="Q460" i="121"/>
  <c r="N461" i="121"/>
  <c r="O461" i="121"/>
  <c r="P461" i="121"/>
  <c r="Q461" i="121"/>
  <c r="N462" i="121"/>
  <c r="O462" i="121"/>
  <c r="MM462" i="121" s="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FV454" i="121" s="1"/>
  <c r="G454" i="121"/>
  <c r="H454" i="121"/>
  <c r="I454" i="121"/>
  <c r="L454" i="121" s="1"/>
  <c r="M454" i="121" s="1"/>
  <c r="C455" i="121"/>
  <c r="D455" i="121"/>
  <c r="E455" i="121"/>
  <c r="F455" i="121"/>
  <c r="G455" i="121"/>
  <c r="H455" i="121"/>
  <c r="I455" i="121"/>
  <c r="C456" i="121"/>
  <c r="D456" i="121"/>
  <c r="E456" i="121"/>
  <c r="F456" i="121"/>
  <c r="G456" i="121"/>
  <c r="I456" i="121"/>
  <c r="C457" i="121"/>
  <c r="D457" i="121"/>
  <c r="E457" i="121"/>
  <c r="F457" i="121"/>
  <c r="G457" i="121"/>
  <c r="I457" i="121"/>
  <c r="C458" i="121"/>
  <c r="D458" i="121"/>
  <c r="E458" i="121"/>
  <c r="F458" i="121"/>
  <c r="G458" i="121"/>
  <c r="I458" i="121"/>
  <c r="C459" i="121"/>
  <c r="D459" i="121"/>
  <c r="E459" i="121"/>
  <c r="MO459" i="121" s="1"/>
  <c r="F459" i="121"/>
  <c r="G459" i="121"/>
  <c r="I459" i="121"/>
  <c r="C460" i="121"/>
  <c r="D460" i="121"/>
  <c r="E460" i="121"/>
  <c r="F460" i="121"/>
  <c r="G460" i="121"/>
  <c r="I460" i="121"/>
  <c r="C461" i="121"/>
  <c r="D461" i="121"/>
  <c r="E461" i="121"/>
  <c r="F461" i="121"/>
  <c r="G461" i="121"/>
  <c r="I461" i="121"/>
  <c r="C462" i="121"/>
  <c r="D462" i="121"/>
  <c r="E462" i="121"/>
  <c r="F462" i="121"/>
  <c r="G462" i="121"/>
  <c r="I462" i="121"/>
  <c r="C463" i="121"/>
  <c r="D463" i="121"/>
  <c r="E463" i="121"/>
  <c r="F463" i="121"/>
  <c r="G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LY450" i="121" s="1"/>
  <c r="B451" i="121"/>
  <c r="B452" i="121"/>
  <c r="B453" i="12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J254" i="121" s="1"/>
  <c r="G253" i="121"/>
  <c r="A253" i="121" s="1"/>
  <c r="G252" i="121"/>
  <c r="G254" i="121" s="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S237" i="121" s="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A222" i="121" s="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202" i="121" s="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8" i="121" s="1"/>
  <c r="J136" i="12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28" i="121" s="1"/>
  <c r="M119" i="12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LO463" i="121"/>
  <c r="LH463" i="121"/>
  <c r="LA463" i="121"/>
  <c r="KK463" i="121"/>
  <c r="JU463" i="121"/>
  <c r="JE463" i="121"/>
  <c r="IO463" i="121"/>
  <c r="ID463" i="121"/>
  <c r="IC463" i="121"/>
  <c r="IB463" i="121"/>
  <c r="IA463" i="121"/>
  <c r="HZ463" i="121"/>
  <c r="HT463" i="121"/>
  <c r="HM463" i="121"/>
  <c r="GW463" i="121"/>
  <c r="GP463" i="121"/>
  <c r="GE463" i="121"/>
  <c r="GC463" i="121"/>
  <c r="FW463" i="121"/>
  <c r="FQ463" i="121"/>
  <c r="FA463" i="121"/>
  <c r="ET463" i="121"/>
  <c r="EH463" i="121"/>
  <c r="EF463" i="121"/>
  <c r="DU463" i="121"/>
  <c r="DN463" i="121"/>
  <c r="CX463" i="121"/>
  <c r="CV463" i="121"/>
  <c r="CF463" i="121"/>
  <c r="BY463" i="121"/>
  <c r="BI463" i="121"/>
  <c r="BB463" i="121"/>
  <c r="AL463" i="121"/>
  <c r="AJ463" i="121"/>
  <c r="MN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JQ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R461" i="121"/>
  <c r="LJ461" i="121"/>
  <c r="KZ461" i="121"/>
  <c r="KR461" i="121"/>
  <c r="KJ461" i="121"/>
  <c r="KB461" i="121"/>
  <c r="JT461" i="121"/>
  <c r="JL461" i="121"/>
  <c r="JD461" i="121"/>
  <c r="IV461" i="121"/>
  <c r="IN461" i="121"/>
  <c r="IF461" i="121"/>
  <c r="ID461" i="121"/>
  <c r="IC461" i="121"/>
  <c r="IB461" i="121"/>
  <c r="IA461" i="121"/>
  <c r="HZ461" i="121"/>
  <c r="HV461" i="121"/>
  <c r="HN461" i="121"/>
  <c r="GG461" i="121"/>
  <c r="GF461" i="121"/>
  <c r="GE461" i="121"/>
  <c r="FY461" i="121"/>
  <c r="FX461" i="121"/>
  <c r="FW461" i="121"/>
  <c r="FA461" i="121"/>
  <c r="EW461" i="121"/>
  <c r="ES461" i="121"/>
  <c r="EE461" i="121"/>
  <c r="ED461" i="121"/>
  <c r="EC461" i="121"/>
  <c r="DE461" i="121"/>
  <c r="DA461" i="121"/>
  <c r="CW461" i="121"/>
  <c r="BY461" i="121"/>
  <c r="BU461" i="121"/>
  <c r="BQ461" i="121"/>
  <c r="AS461" i="121"/>
  <c r="AO461" i="121"/>
  <c r="AK461" i="121"/>
  <c r="MT460" i="121"/>
  <c r="MD460" i="121"/>
  <c r="MA460" i="121"/>
  <c r="LZ460" i="121"/>
  <c r="LV460" i="121"/>
  <c r="LS460" i="121"/>
  <c r="LR460" i="121"/>
  <c r="LN460" i="121"/>
  <c r="LK460" i="121"/>
  <c r="LJ460" i="121"/>
  <c r="IC460" i="121"/>
  <c r="HX460" i="121"/>
  <c r="HU460" i="121"/>
  <c r="HT460" i="121"/>
  <c r="HP460" i="121"/>
  <c r="HM460" i="121"/>
  <c r="HL460" i="121"/>
  <c r="HH460" i="121"/>
  <c r="HE460" i="121"/>
  <c r="HD460" i="121"/>
  <c r="GZ460" i="121"/>
  <c r="GW460" i="121"/>
  <c r="GV460" i="121"/>
  <c r="GR460" i="121"/>
  <c r="GO460" i="121"/>
  <c r="GN460" i="121"/>
  <c r="GJ460" i="121"/>
  <c r="GG460" i="121"/>
  <c r="GF460" i="121"/>
  <c r="GB460" i="121"/>
  <c r="FY460" i="121"/>
  <c r="FX460" i="121"/>
  <c r="FT460" i="121"/>
  <c r="FQ460" i="121"/>
  <c r="FP460" i="121"/>
  <c r="FL460" i="121"/>
  <c r="FI460" i="121"/>
  <c r="FH460" i="121"/>
  <c r="FD460" i="121"/>
  <c r="FA460" i="121"/>
  <c r="EZ460" i="121"/>
  <c r="EV460" i="121"/>
  <c r="ES460" i="121"/>
  <c r="ER460" i="121"/>
  <c r="EN460" i="121"/>
  <c r="EK460" i="121"/>
  <c r="EJ460" i="121"/>
  <c r="EF460" i="121"/>
  <c r="EC460" i="121"/>
  <c r="EB460" i="121"/>
  <c r="DX460" i="121"/>
  <c r="DU460" i="121"/>
  <c r="DT460" i="121"/>
  <c r="DP460" i="121"/>
  <c r="DM460" i="121"/>
  <c r="DL460" i="121"/>
  <c r="DH460" i="121"/>
  <c r="DE460" i="121"/>
  <c r="DD460" i="121"/>
  <c r="CZ460" i="121"/>
  <c r="CW460" i="121"/>
  <c r="CV460" i="121"/>
  <c r="CR460" i="121"/>
  <c r="CO460" i="121"/>
  <c r="CN460" i="121"/>
  <c r="CJ460" i="121"/>
  <c r="CG460" i="121"/>
  <c r="CF460" i="121"/>
  <c r="CB460" i="121"/>
  <c r="BY460" i="121"/>
  <c r="BX460" i="121"/>
  <c r="BT460" i="121"/>
  <c r="BQ460" i="121"/>
  <c r="BP460" i="121"/>
  <c r="BL460" i="121"/>
  <c r="BI460" i="121"/>
  <c r="BH460" i="121"/>
  <c r="BD460" i="121"/>
  <c r="BA460" i="121"/>
  <c r="AZ460" i="121"/>
  <c r="AV460" i="121"/>
  <c r="AS460" i="121"/>
  <c r="AR460" i="121"/>
  <c r="AN460" i="121"/>
  <c r="AK460" i="121"/>
  <c r="AJ460" i="121"/>
  <c r="AF460" i="121"/>
  <c r="AC460" i="121"/>
  <c r="AB460" i="121"/>
  <c r="X460" i="121"/>
  <c r="MN459" i="121"/>
  <c r="MM459" i="121"/>
  <c r="MD459" i="121"/>
  <c r="MC459" i="121"/>
  <c r="LS459" i="121"/>
  <c r="LN459" i="121"/>
  <c r="LM459" i="121"/>
  <c r="LC459" i="121"/>
  <c r="KX459" i="121"/>
  <c r="KR459" i="121"/>
  <c r="KM459" i="121"/>
  <c r="JL459" i="121"/>
  <c r="JG459" i="121"/>
  <c r="JB459" i="121"/>
  <c r="IV459" i="121"/>
  <c r="IC459" i="121"/>
  <c r="IB459" i="121"/>
  <c r="IA459" i="121"/>
  <c r="HZ459" i="121"/>
  <c r="HU459" i="121"/>
  <c r="HT459" i="121"/>
  <c r="HJ459" i="121"/>
  <c r="HE459" i="121"/>
  <c r="HD459" i="121"/>
  <c r="GT459" i="121"/>
  <c r="GO459" i="121"/>
  <c r="GN459" i="121"/>
  <c r="GD459" i="121"/>
  <c r="FY459" i="121"/>
  <c r="FX459" i="121"/>
  <c r="FN459" i="121"/>
  <c r="FI459" i="121"/>
  <c r="FH459" i="121"/>
  <c r="EX459" i="121"/>
  <c r="ES459" i="121"/>
  <c r="ER459" i="121"/>
  <c r="EH459" i="121"/>
  <c r="EC459" i="121"/>
  <c r="EB459" i="121"/>
  <c r="DR459" i="121"/>
  <c r="DM459" i="121"/>
  <c r="DL459" i="121"/>
  <c r="DB459" i="121"/>
  <c r="CW459" i="121"/>
  <c r="CV459" i="121"/>
  <c r="CL459" i="121"/>
  <c r="CG459" i="121"/>
  <c r="CF459" i="121"/>
  <c r="BV459" i="121"/>
  <c r="BQ459" i="121"/>
  <c r="BP459" i="121"/>
  <c r="BF459" i="121"/>
  <c r="BA459" i="121"/>
  <c r="AZ459" i="121"/>
  <c r="AP459" i="121"/>
  <c r="AK459" i="121"/>
  <c r="AJ459" i="121"/>
  <c r="Z459" i="121"/>
  <c r="MA458" i="121"/>
  <c r="LZ458" i="121"/>
  <c r="LY458" i="121"/>
  <c r="LS458" i="121"/>
  <c r="LR458" i="121"/>
  <c r="LQ458" i="121"/>
  <c r="LK458" i="121"/>
  <c r="LJ458" i="121"/>
  <c r="LI458" i="121"/>
  <c r="IS458" i="121"/>
  <c r="HY458" i="121"/>
  <c r="HX458" i="121"/>
  <c r="HR458" i="121"/>
  <c r="HQ458" i="121"/>
  <c r="HP458" i="121"/>
  <c r="HJ458" i="121"/>
  <c r="HI458" i="121"/>
  <c r="HH458" i="121"/>
  <c r="HB458" i="121"/>
  <c r="HA458" i="121"/>
  <c r="GZ458" i="121"/>
  <c r="GT458" i="121"/>
  <c r="GS458" i="121"/>
  <c r="GR458" i="121"/>
  <c r="GL458" i="121"/>
  <c r="GK458" i="121"/>
  <c r="GJ458" i="121"/>
  <c r="GD458" i="121"/>
  <c r="GC458" i="121"/>
  <c r="GB458" i="121"/>
  <c r="FV458" i="121"/>
  <c r="FU458" i="121"/>
  <c r="FT458" i="121"/>
  <c r="FN458" i="121"/>
  <c r="FM458" i="121"/>
  <c r="FL458" i="121"/>
  <c r="FF458" i="121"/>
  <c r="FE458" i="121"/>
  <c r="FD458" i="121"/>
  <c r="EX458" i="121"/>
  <c r="EW458" i="121"/>
  <c r="EV458" i="121"/>
  <c r="EP458" i="121"/>
  <c r="EO458" i="121"/>
  <c r="EN458" i="121"/>
  <c r="EH458" i="121"/>
  <c r="EG458" i="121"/>
  <c r="EF458" i="121"/>
  <c r="DZ458" i="121"/>
  <c r="DY458" i="121"/>
  <c r="DX458" i="121"/>
  <c r="DR458" i="121"/>
  <c r="DQ458" i="121"/>
  <c r="DP458" i="121"/>
  <c r="DJ458" i="121"/>
  <c r="DI458" i="121"/>
  <c r="DH458" i="121"/>
  <c r="DB458" i="121"/>
  <c r="DA458" i="121"/>
  <c r="CZ458" i="121"/>
  <c r="CT458" i="121"/>
  <c r="CS458" i="121"/>
  <c r="CR458" i="121"/>
  <c r="CL458" i="121"/>
  <c r="CK458" i="121"/>
  <c r="CJ458" i="121"/>
  <c r="CD458" i="121"/>
  <c r="CC458" i="121"/>
  <c r="CB458" i="121"/>
  <c r="BV458" i="121"/>
  <c r="BU458" i="121"/>
  <c r="BT458" i="121"/>
  <c r="BN458" i="121"/>
  <c r="BM458" i="121"/>
  <c r="BL458" i="121"/>
  <c r="BF458" i="121"/>
  <c r="BE458" i="121"/>
  <c r="BD458" i="121"/>
  <c r="AX458" i="121"/>
  <c r="AW458" i="121"/>
  <c r="AV458" i="121"/>
  <c r="AO458" i="121"/>
  <c r="AN458" i="121"/>
  <c r="AH458" i="121"/>
  <c r="AG458" i="121"/>
  <c r="AF458" i="121"/>
  <c r="Z458" i="121"/>
  <c r="Y458" i="121"/>
  <c r="X458" i="121"/>
  <c r="MT457" i="121"/>
  <c r="MO457" i="121"/>
  <c r="MN457" i="121"/>
  <c r="MM457" i="121"/>
  <c r="ML457" i="121"/>
  <c r="MK457" i="121"/>
  <c r="MF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E457" i="121"/>
  <c r="GF457" i="121"/>
  <c r="GE457" i="121"/>
  <c r="GD457" i="121"/>
  <c r="GC457" i="121"/>
  <c r="GB457" i="121"/>
  <c r="GA457" i="121"/>
  <c r="FZ457" i="121"/>
  <c r="FY457" i="121"/>
  <c r="FX457" i="121"/>
  <c r="FW457" i="121"/>
  <c r="ES457" i="121"/>
  <c r="EH457" i="121"/>
  <c r="EG457" i="121"/>
  <c r="EF457" i="121"/>
  <c r="EE457" i="121"/>
  <c r="ED457" i="121"/>
  <c r="EC457" i="121"/>
  <c r="CW457" i="121"/>
  <c r="BQ457" i="121"/>
  <c r="AK457" i="121"/>
  <c r="MA456" i="121"/>
  <c r="LK456" i="121"/>
  <c r="IF456" i="121"/>
  <c r="HR456" i="121"/>
  <c r="HM456" i="121"/>
  <c r="GW456" i="121"/>
  <c r="GS456" i="121"/>
  <c r="GE456" i="121"/>
  <c r="GC456" i="121"/>
  <c r="FW456" i="121"/>
  <c r="FU456" i="121"/>
  <c r="FE456" i="121"/>
  <c r="EX456" i="121"/>
  <c r="EH456" i="121"/>
  <c r="EF456" i="121"/>
  <c r="DU456" i="121"/>
  <c r="DQ456" i="121"/>
  <c r="DA456" i="121"/>
  <c r="CT456" i="121"/>
  <c r="CD456" i="121"/>
  <c r="BY456" i="121"/>
  <c r="BI456" i="121"/>
  <c r="BE456" i="121"/>
  <c r="AO456" i="121"/>
  <c r="AH456" i="121"/>
  <c r="MS455" i="121"/>
  <c r="MO455" i="121"/>
  <c r="MN455" i="121"/>
  <c r="MM455" i="121"/>
  <c r="ML455" i="121"/>
  <c r="MK455" i="121"/>
  <c r="MG455" i="121"/>
  <c r="MC455" i="121"/>
  <c r="MB455" i="121"/>
  <c r="MA455" i="121"/>
  <c r="LM455" i="121"/>
  <c r="LL455" i="121"/>
  <c r="LK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S455" i="121"/>
  <c r="HR455" i="121"/>
  <c r="HQ455" i="121"/>
  <c r="HH455" i="121"/>
  <c r="HG455" i="121"/>
  <c r="HC455" i="121"/>
  <c r="GT455" i="121"/>
  <c r="GS455" i="121"/>
  <c r="GR455" i="121"/>
  <c r="GI455" i="121"/>
  <c r="GF455" i="121"/>
  <c r="GE455" i="121"/>
  <c r="GD455" i="121"/>
  <c r="GC455" i="121"/>
  <c r="GB455" i="121"/>
  <c r="GA455" i="121"/>
  <c r="FZ455" i="121"/>
  <c r="FY455" i="121"/>
  <c r="FX455" i="121"/>
  <c r="FW455" i="121"/>
  <c r="FN455" i="121"/>
  <c r="FM455" i="121"/>
  <c r="FL455" i="121"/>
  <c r="FC455" i="121"/>
  <c r="EY455" i="121"/>
  <c r="EX455" i="121"/>
  <c r="EO455" i="121"/>
  <c r="EN455" i="121"/>
  <c r="EM455" i="121"/>
  <c r="EH455" i="121"/>
  <c r="EG455" i="121"/>
  <c r="EF455" i="121"/>
  <c r="EE455" i="121"/>
  <c r="ED455" i="121"/>
  <c r="EA455" i="121"/>
  <c r="DZ455" i="121"/>
  <c r="DQ455" i="121"/>
  <c r="DP455" i="121"/>
  <c r="DO455" i="121"/>
  <c r="DC455" i="121"/>
  <c r="DB455" i="121"/>
  <c r="DA455" i="121"/>
  <c r="CR455" i="121"/>
  <c r="CQ455" i="121"/>
  <c r="CM455" i="121"/>
  <c r="CD455" i="121"/>
  <c r="CC455" i="121"/>
  <c r="CB455" i="121"/>
  <c r="BS455" i="121"/>
  <c r="BO455" i="121"/>
  <c r="BN455" i="121"/>
  <c r="BE455" i="121"/>
  <c r="BD455" i="121"/>
  <c r="BC455" i="121"/>
  <c r="AQ455" i="121"/>
  <c r="AP455" i="121"/>
  <c r="AO455" i="121"/>
  <c r="AF455" i="121"/>
  <c r="AE455" i="121"/>
  <c r="AA455" i="121"/>
  <c r="L455" i="121"/>
  <c r="M455" i="121" s="1"/>
  <c r="MM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KT454" i="121"/>
  <c r="JN454" i="121"/>
  <c r="IH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MO453" i="121"/>
  <c r="MN453" i="121"/>
  <c r="MC453" i="121"/>
  <c r="LY453" i="121"/>
  <c r="LU453" i="121"/>
  <c r="LQ453" i="121"/>
  <c r="LM453" i="121"/>
  <c r="LI453" i="121"/>
  <c r="JS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N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E452" i="121"/>
  <c r="KO452" i="121"/>
  <c r="JY452" i="121"/>
  <c r="JI452" i="121"/>
  <c r="IS452" i="121"/>
  <c r="IC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MM451" i="121"/>
  <c r="MB451" i="121"/>
  <c r="LT451" i="121"/>
  <c r="LL451" i="121"/>
  <c r="LB451" i="121"/>
  <c r="KL451" i="121"/>
  <c r="JV451" i="121"/>
  <c r="JF451" i="121"/>
  <c r="IP451" i="121"/>
  <c r="IB451" i="121"/>
  <c r="HT451" i="121"/>
  <c r="HL451" i="121"/>
  <c r="HD451" i="121"/>
  <c r="GV451" i="121"/>
  <c r="GN451" i="121"/>
  <c r="GF451" i="121"/>
  <c r="FX451" i="121"/>
  <c r="FP451" i="121"/>
  <c r="FH451" i="121"/>
  <c r="EZ451" i="121"/>
  <c r="ER451" i="121"/>
  <c r="EJ451" i="121"/>
  <c r="EB451" i="121"/>
  <c r="DT451" i="121"/>
  <c r="DL451" i="121"/>
  <c r="DD451" i="121"/>
  <c r="CV451" i="121"/>
  <c r="CN451" i="121"/>
  <c r="CF451" i="121"/>
  <c r="BX451" i="121"/>
  <c r="BP451" i="121"/>
  <c r="BH451" i="121"/>
  <c r="AZ451" i="121"/>
  <c r="AR451" i="121"/>
  <c r="AJ451" i="121"/>
  <c r="AB451" i="121"/>
  <c r="L451" i="121"/>
  <c r="M451" i="121" s="1"/>
  <c r="MR450" i="121"/>
  <c r="MQ450" i="121"/>
  <c r="MO450" i="121"/>
  <c r="MN450" i="121"/>
  <c r="MM450" i="121"/>
  <c r="ML450" i="121"/>
  <c r="MK450" i="121"/>
  <c r="MJ450" i="121"/>
  <c r="MI450" i="121"/>
  <c r="MF450" i="121"/>
  <c r="MA450" i="121"/>
  <c r="LZ450" i="121"/>
  <c r="LS450" i="121"/>
  <c r="LR450" i="121"/>
  <c r="LK450" i="121"/>
  <c r="LJ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S450" i="121"/>
  <c r="HR450" i="121"/>
  <c r="HK450" i="121"/>
  <c r="HJ450" i="121"/>
  <c r="HC450" i="121"/>
  <c r="HB450" i="121"/>
  <c r="GU450" i="121"/>
  <c r="GT450" i="121"/>
  <c r="GM450" i="121"/>
  <c r="GL450" i="121"/>
  <c r="GF450" i="121"/>
  <c r="GE450" i="121"/>
  <c r="GD450" i="121"/>
  <c r="GC450" i="121"/>
  <c r="GB450" i="121"/>
  <c r="GA450" i="121"/>
  <c r="FZ450" i="121"/>
  <c r="FY450" i="121"/>
  <c r="FX450" i="121"/>
  <c r="FW450" i="121"/>
  <c r="FV450" i="121"/>
  <c r="FO450" i="121"/>
  <c r="FN450" i="121"/>
  <c r="FG450" i="121"/>
  <c r="FF450" i="121"/>
  <c r="EY450" i="121"/>
  <c r="EX450" i="121"/>
  <c r="EQ450" i="121"/>
  <c r="EP450" i="121"/>
  <c r="EI450" i="121"/>
  <c r="EH450" i="121"/>
  <c r="EG450" i="121"/>
  <c r="EF450" i="121"/>
  <c r="EE450" i="121"/>
  <c r="ED450" i="121"/>
  <c r="EA450" i="121"/>
  <c r="DZ450" i="121"/>
  <c r="DS450" i="121"/>
  <c r="DR450" i="121"/>
  <c r="DK450" i="121"/>
  <c r="DJ450" i="121"/>
  <c r="DC450" i="121"/>
  <c r="DB450" i="121"/>
  <c r="CU450" i="121"/>
  <c r="CT450" i="121"/>
  <c r="CM450" i="121"/>
  <c r="CL450" i="121"/>
  <c r="CE450" i="121"/>
  <c r="CD450" i="121"/>
  <c r="BW450" i="121"/>
  <c r="BV450" i="121"/>
  <c r="BO450" i="121"/>
  <c r="BN450" i="121"/>
  <c r="BG450" i="121"/>
  <c r="BF450" i="121"/>
  <c r="AY450" i="121"/>
  <c r="AX450" i="121"/>
  <c r="AQ450" i="121"/>
  <c r="AP450" i="121"/>
  <c r="AI450" i="121"/>
  <c r="AH450" i="121"/>
  <c r="AA450" i="121"/>
  <c r="Z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J292" i="121"/>
  <c r="N289" i="121"/>
  <c r="J289" i="121"/>
  <c r="S254" i="121"/>
  <c r="P254" i="121"/>
  <c r="M254" i="121"/>
  <c r="O251" i="121"/>
  <c r="P245" i="121"/>
  <c r="J241" i="121"/>
  <c r="O238" i="121"/>
  <c r="E237" i="121"/>
  <c r="O231" i="121"/>
  <c r="F231" i="121"/>
  <c r="O225" i="121"/>
  <c r="F221" i="121"/>
  <c r="E219" i="121"/>
  <c r="B216" i="121"/>
  <c r="O214" i="121"/>
  <c r="O206" i="121"/>
  <c r="O197" i="121"/>
  <c r="O184" i="121"/>
  <c r="M183" i="121"/>
  <c r="A181" i="121"/>
  <c r="O170" i="121"/>
  <c r="O164" i="121"/>
  <c r="O155" i="121"/>
  <c r="S151" i="121"/>
  <c r="F150" i="121"/>
  <c r="D150" i="121"/>
  <c r="F149" i="121"/>
  <c r="D149" i="121"/>
  <c r="F148" i="121"/>
  <c r="D148" i="121"/>
  <c r="O147" i="121"/>
  <c r="O139" i="121"/>
  <c r="P138" i="121"/>
  <c r="M138" i="121"/>
  <c r="F136" i="121"/>
  <c r="O135" i="121"/>
  <c r="S134" i="121"/>
  <c r="M134" i="121"/>
  <c r="O129" i="121"/>
  <c r="O118" i="121"/>
  <c r="D116" i="121"/>
  <c r="A112" i="121"/>
  <c r="L47" i="121"/>
  <c r="O9" i="121"/>
  <c r="LZ455" i="121" l="1"/>
  <c r="LR455" i="121"/>
  <c r="LJ455" i="121"/>
  <c r="HV455" i="121"/>
  <c r="HN455" i="121"/>
  <c r="HF455" i="121"/>
  <c r="GX455" i="121"/>
  <c r="GP455" i="121"/>
  <c r="GH455" i="121"/>
  <c r="FR455" i="121"/>
  <c r="FJ455" i="121"/>
  <c r="FB455" i="121"/>
  <c r="ET455" i="121"/>
  <c r="EL455" i="121"/>
  <c r="DV455" i="121"/>
  <c r="DN455" i="121"/>
  <c r="DF455" i="121"/>
  <c r="CX455" i="121"/>
  <c r="CP455" i="121"/>
  <c r="CH455" i="121"/>
  <c r="BZ455" i="121"/>
  <c r="BR455" i="121"/>
  <c r="BJ455" i="121"/>
  <c r="BB455" i="121"/>
  <c r="AT455" i="121"/>
  <c r="AL455" i="121"/>
  <c r="AD455" i="121"/>
  <c r="LY455" i="121"/>
  <c r="LQ455" i="121"/>
  <c r="LI455" i="121"/>
  <c r="HU455" i="121"/>
  <c r="HM455" i="121"/>
  <c r="HE455" i="121"/>
  <c r="GW455" i="121"/>
  <c r="GO455" i="121"/>
  <c r="GG455" i="121"/>
  <c r="FQ455" i="121"/>
  <c r="FI455" i="121"/>
  <c r="FA455" i="121"/>
  <c r="ES455" i="121"/>
  <c r="EK455" i="121"/>
  <c r="EC455" i="121"/>
  <c r="DU455" i="121"/>
  <c r="DM455" i="121"/>
  <c r="DE455" i="121"/>
  <c r="CW455" i="121"/>
  <c r="CO455" i="121"/>
  <c r="CG455" i="121"/>
  <c r="BY455" i="121"/>
  <c r="BQ455" i="121"/>
  <c r="BI455" i="121"/>
  <c r="BA455" i="121"/>
  <c r="AS455" i="121"/>
  <c r="AK455" i="121"/>
  <c r="AC455" i="121"/>
  <c r="LX455" i="121"/>
  <c r="LP455" i="121"/>
  <c r="LH455" i="121"/>
  <c r="HT455" i="121"/>
  <c r="HL455" i="121"/>
  <c r="HD455" i="121"/>
  <c r="GV455" i="121"/>
  <c r="GN455" i="121"/>
  <c r="FP455" i="121"/>
  <c r="FH455" i="121"/>
  <c r="EZ455" i="121"/>
  <c r="ER455" i="121"/>
  <c r="EJ455" i="121"/>
  <c r="EB455" i="121"/>
  <c r="DT455" i="121"/>
  <c r="DL455" i="121"/>
  <c r="DD455" i="121"/>
  <c r="CV455" i="121"/>
  <c r="CN455" i="121"/>
  <c r="CF455" i="121"/>
  <c r="BX455" i="121"/>
  <c r="BP455" i="121"/>
  <c r="BH455" i="121"/>
  <c r="AZ455" i="121"/>
  <c r="AR455" i="121"/>
  <c r="AJ455" i="121"/>
  <c r="AB455" i="121"/>
  <c r="ME455" i="121"/>
  <c r="LW455" i="121"/>
  <c r="LO455" i="121"/>
  <c r="AG455" i="121"/>
  <c r="AU455" i="121"/>
  <c r="BF455" i="121"/>
  <c r="BT455" i="121"/>
  <c r="CE455" i="121"/>
  <c r="CS455" i="121"/>
  <c r="DG455" i="121"/>
  <c r="DR455" i="121"/>
  <c r="EP455" i="121"/>
  <c r="FD455" i="121"/>
  <c r="FO455" i="121"/>
  <c r="GJ455" i="121"/>
  <c r="GU455" i="121"/>
  <c r="HI455" i="121"/>
  <c r="HW455" i="121"/>
  <c r="LN455" i="121"/>
  <c r="MD455" i="121"/>
  <c r="AH455" i="121"/>
  <c r="AV455" i="121"/>
  <c r="BG455" i="121"/>
  <c r="BU455" i="121"/>
  <c r="CI455" i="121"/>
  <c r="CT455" i="121"/>
  <c r="DH455" i="121"/>
  <c r="DS455" i="121"/>
  <c r="EQ455" i="121"/>
  <c r="FE455" i="121"/>
  <c r="FS455" i="121"/>
  <c r="GK455" i="121"/>
  <c r="GY455" i="121"/>
  <c r="HJ455" i="121"/>
  <c r="HX455" i="121"/>
  <c r="LS455" i="121"/>
  <c r="X455" i="121"/>
  <c r="AI455" i="121"/>
  <c r="AW455" i="121"/>
  <c r="BK455" i="121"/>
  <c r="BV455" i="121"/>
  <c r="CJ455" i="121"/>
  <c r="CU455" i="121"/>
  <c r="DI455" i="121"/>
  <c r="DW455" i="121"/>
  <c r="EU455" i="121"/>
  <c r="FF455" i="121"/>
  <c r="FT455" i="121"/>
  <c r="GL455" i="121"/>
  <c r="GZ455" i="121"/>
  <c r="HK455" i="121"/>
  <c r="HY455" i="121"/>
  <c r="LT455" i="121"/>
  <c r="Y455" i="121"/>
  <c r="AM455" i="121"/>
  <c r="AX455" i="121"/>
  <c r="BL455" i="121"/>
  <c r="BW455" i="121"/>
  <c r="CK455" i="121"/>
  <c r="CY455" i="121"/>
  <c r="DJ455" i="121"/>
  <c r="DX455" i="121"/>
  <c r="EV455" i="121"/>
  <c r="FG455" i="121"/>
  <c r="FU455" i="121"/>
  <c r="GM455" i="121"/>
  <c r="HA455" i="121"/>
  <c r="HO455" i="121"/>
  <c r="LU455" i="121"/>
  <c r="Z455" i="121"/>
  <c r="AN455" i="121"/>
  <c r="AY455" i="121"/>
  <c r="BM455" i="121"/>
  <c r="CA455" i="121"/>
  <c r="CL455" i="121"/>
  <c r="CZ455" i="121"/>
  <c r="DK455" i="121"/>
  <c r="DY455" i="121"/>
  <c r="EI455" i="121"/>
  <c r="EW455" i="121"/>
  <c r="FK455" i="121"/>
  <c r="FV455" i="121"/>
  <c r="GQ455" i="121"/>
  <c r="HB455" i="121"/>
  <c r="HP455" i="121"/>
  <c r="LG455" i="121"/>
  <c r="LV455" i="121"/>
  <c r="AR450" i="121"/>
  <c r="AZ450" i="121"/>
  <c r="BH450" i="121"/>
  <c r="CF450" i="121"/>
  <c r="CV450" i="121"/>
  <c r="DD450" i="121"/>
  <c r="DL450" i="121"/>
  <c r="DT450" i="121"/>
  <c r="EB450" i="121"/>
  <c r="EJ450" i="121"/>
  <c r="ER450" i="121"/>
  <c r="EZ450" i="121"/>
  <c r="FH450" i="121"/>
  <c r="FP450" i="121"/>
  <c r="GN450" i="121"/>
  <c r="GV450" i="121"/>
  <c r="HD450" i="121"/>
  <c r="HL450" i="121"/>
  <c r="HT450" i="121"/>
  <c r="LL450" i="121"/>
  <c r="LT450" i="121"/>
  <c r="MB450" i="121"/>
  <c r="AC450" i="121"/>
  <c r="AK450" i="121"/>
  <c r="AS450" i="121"/>
  <c r="BA450" i="121"/>
  <c r="BI450" i="121"/>
  <c r="BQ450" i="121"/>
  <c r="BY450" i="121"/>
  <c r="CG450" i="121"/>
  <c r="CO450" i="121"/>
  <c r="CW450" i="121"/>
  <c r="DE450" i="121"/>
  <c r="DM450" i="121"/>
  <c r="DU450" i="121"/>
  <c r="EC450" i="121"/>
  <c r="EK450" i="121"/>
  <c r="ES450" i="121"/>
  <c r="FA450" i="121"/>
  <c r="FI450" i="121"/>
  <c r="FQ450" i="121"/>
  <c r="GG450" i="121"/>
  <c r="GO450" i="121"/>
  <c r="GW450" i="121"/>
  <c r="HE450" i="121"/>
  <c r="HM450" i="121"/>
  <c r="HU450" i="121"/>
  <c r="LM450" i="121"/>
  <c r="LU450" i="121"/>
  <c r="MC450" i="121"/>
  <c r="CN450" i="121"/>
  <c r="BB450" i="121"/>
  <c r="BR450" i="121"/>
  <c r="BZ450" i="121"/>
  <c r="CX450" i="121"/>
  <c r="DV450" i="121"/>
  <c r="FB450" i="121"/>
  <c r="FR450" i="121"/>
  <c r="GX450" i="121"/>
  <c r="HN450" i="121"/>
  <c r="MD450" i="121"/>
  <c r="AE450" i="121"/>
  <c r="AM450" i="121"/>
  <c r="AU450" i="121"/>
  <c r="BC450" i="121"/>
  <c r="BK450" i="121"/>
  <c r="BS450" i="121"/>
  <c r="CA450" i="121"/>
  <c r="CI450" i="121"/>
  <c r="CQ450" i="121"/>
  <c r="CY450" i="121"/>
  <c r="DG450" i="121"/>
  <c r="DO450" i="121"/>
  <c r="DW450" i="121"/>
  <c r="EM450" i="121"/>
  <c r="EU450" i="121"/>
  <c r="FC450" i="121"/>
  <c r="FK450" i="121"/>
  <c r="FS450" i="121"/>
  <c r="GI450" i="121"/>
  <c r="GQ450" i="121"/>
  <c r="GY450" i="121"/>
  <c r="HG450" i="121"/>
  <c r="HO450" i="121"/>
  <c r="HW450" i="121"/>
  <c r="LG450" i="121"/>
  <c r="LO450" i="121"/>
  <c r="LW450" i="121"/>
  <c r="ME450" i="121"/>
  <c r="AJ450" i="121"/>
  <c r="BX450" i="121"/>
  <c r="AD450" i="121"/>
  <c r="AT450" i="121"/>
  <c r="CP450" i="121"/>
  <c r="DN450" i="121"/>
  <c r="EL450" i="121"/>
  <c r="GH450" i="121"/>
  <c r="HF450" i="121"/>
  <c r="LV450" i="121"/>
  <c r="X450" i="121"/>
  <c r="AF450" i="121"/>
  <c r="AN450" i="121"/>
  <c r="AV450" i="121"/>
  <c r="BD450" i="121"/>
  <c r="BL450" i="121"/>
  <c r="BT450" i="121"/>
  <c r="CB450" i="121"/>
  <c r="CJ450" i="121"/>
  <c r="CR450" i="121"/>
  <c r="CZ450" i="121"/>
  <c r="DH450" i="121"/>
  <c r="DP450" i="121"/>
  <c r="DX450" i="121"/>
  <c r="EN450" i="121"/>
  <c r="EV450" i="121"/>
  <c r="FD450" i="121"/>
  <c r="FL450" i="121"/>
  <c r="FT450" i="121"/>
  <c r="GJ450" i="121"/>
  <c r="GR450" i="121"/>
  <c r="GZ450" i="121"/>
  <c r="HH450" i="121"/>
  <c r="HP450" i="121"/>
  <c r="HX450" i="121"/>
  <c r="LH450" i="121"/>
  <c r="LP450" i="121"/>
  <c r="LX450" i="121"/>
  <c r="AB450" i="121"/>
  <c r="BP450" i="121"/>
  <c r="AL450" i="121"/>
  <c r="BJ450" i="121"/>
  <c r="CH450" i="121"/>
  <c r="DF450" i="121"/>
  <c r="ET450" i="121"/>
  <c r="FJ450" i="121"/>
  <c r="GP450" i="121"/>
  <c r="HV450" i="121"/>
  <c r="LN450" i="121"/>
  <c r="Y450" i="121"/>
  <c r="AG450" i="121"/>
  <c r="AO450" i="121"/>
  <c r="AW450" i="121"/>
  <c r="BE450" i="121"/>
  <c r="BM450" i="121"/>
  <c r="BU450" i="121"/>
  <c r="CC450" i="121"/>
  <c r="CK450" i="121"/>
  <c r="CS450" i="121"/>
  <c r="DA450" i="121"/>
  <c r="DI450" i="121"/>
  <c r="DQ450" i="121"/>
  <c r="DY450" i="121"/>
  <c r="EO450" i="121"/>
  <c r="EW450" i="121"/>
  <c r="FE450" i="121"/>
  <c r="FM450" i="121"/>
  <c r="FU450" i="121"/>
  <c r="GK450" i="121"/>
  <c r="GS450" i="121"/>
  <c r="HA450" i="121"/>
  <c r="HI450" i="121"/>
  <c r="HQ450" i="121"/>
  <c r="HY450" i="121"/>
  <c r="LI450" i="121"/>
  <c r="LQ450" i="121"/>
  <c r="J301" i="121"/>
  <c r="E218" i="121" s="1"/>
  <c r="JC453" i="121"/>
  <c r="JP453" i="121"/>
  <c r="KF453" i="121"/>
  <c r="KI453" i="121"/>
  <c r="IJ453" i="121"/>
  <c r="KV453" i="121"/>
  <c r="IM453" i="121"/>
  <c r="KY453" i="121"/>
  <c r="LY463" i="121"/>
  <c r="HF461" i="121"/>
  <c r="MB459" i="121"/>
  <c r="IS460" i="121"/>
  <c r="MO462" i="121"/>
  <c r="KE458" i="121"/>
  <c r="IB462" i="121"/>
  <c r="LC456" i="121"/>
  <c r="KJ458" i="121"/>
  <c r="KG460" i="121"/>
  <c r="IC462" i="121"/>
  <c r="MM458" i="121"/>
  <c r="MO456" i="121"/>
  <c r="JW456" i="121"/>
  <c r="KO458" i="121"/>
  <c r="LE460" i="121"/>
  <c r="ID462" i="121"/>
  <c r="MG462" i="121"/>
  <c r="IF462" i="121"/>
  <c r="MK462" i="121"/>
  <c r="IY458" i="121"/>
  <c r="MF456" i="121"/>
  <c r="HZ458" i="121"/>
  <c r="ML460" i="121"/>
  <c r="IN462" i="121"/>
  <c r="ML462" i="121"/>
  <c r="JL456" i="121"/>
  <c r="IA462" i="121"/>
  <c r="KG462" i="121"/>
  <c r="JY460" i="121"/>
  <c r="KW462" i="121"/>
  <c r="IB460" i="121"/>
  <c r="JA462" i="121"/>
  <c r="ID452" i="121"/>
  <c r="IT452" i="121"/>
  <c r="JJ452" i="121"/>
  <c r="JZ452" i="121"/>
  <c r="KP452" i="121"/>
  <c r="LF452" i="121"/>
  <c r="MO452" i="121"/>
  <c r="IL454" i="121"/>
  <c r="JR454" i="121"/>
  <c r="KX454" i="121"/>
  <c r="MN454" i="121"/>
  <c r="IG452" i="121"/>
  <c r="IW452" i="121"/>
  <c r="JM452" i="121"/>
  <c r="KC452" i="121"/>
  <c r="KS452" i="121"/>
  <c r="MP452" i="121"/>
  <c r="IP454" i="121"/>
  <c r="JV454" i="121"/>
  <c r="LB454" i="121"/>
  <c r="MO454" i="121"/>
  <c r="IH452" i="121"/>
  <c r="IX452" i="121"/>
  <c r="JN452" i="121"/>
  <c r="KD452" i="121"/>
  <c r="KT452" i="121"/>
  <c r="MG452" i="121"/>
  <c r="MS452" i="121"/>
  <c r="HZ454" i="121"/>
  <c r="IT454" i="121"/>
  <c r="JZ454" i="121"/>
  <c r="LF454" i="121"/>
  <c r="MP454" i="121"/>
  <c r="IK452" i="121"/>
  <c r="JA452" i="121"/>
  <c r="JQ452" i="121"/>
  <c r="KG452" i="121"/>
  <c r="KW452" i="121"/>
  <c r="MH452" i="121"/>
  <c r="MT452" i="121"/>
  <c r="IA454" i="121"/>
  <c r="IX454" i="121"/>
  <c r="KD454" i="121"/>
  <c r="MT454" i="121"/>
  <c r="HZ452" i="121"/>
  <c r="IL452" i="121"/>
  <c r="JB452" i="121"/>
  <c r="JR452" i="121"/>
  <c r="KH452" i="121"/>
  <c r="KX452" i="121"/>
  <c r="MK452" i="121"/>
  <c r="IB454" i="121"/>
  <c r="JB454" i="121"/>
  <c r="KH454" i="121"/>
  <c r="MH454" i="121"/>
  <c r="IA452" i="121"/>
  <c r="IO452" i="121"/>
  <c r="JE452" i="121"/>
  <c r="JU452" i="121"/>
  <c r="KK452" i="121"/>
  <c r="LA452" i="121"/>
  <c r="ML452" i="121"/>
  <c r="IC454" i="121"/>
  <c r="JF454" i="121"/>
  <c r="KL454" i="121"/>
  <c r="MK454" i="121"/>
  <c r="IB452" i="121"/>
  <c r="IP452" i="121"/>
  <c r="JF452" i="121"/>
  <c r="JV452" i="121"/>
  <c r="KL452" i="121"/>
  <c r="LB452" i="121"/>
  <c r="ID454" i="121"/>
  <c r="JJ454" i="121"/>
  <c r="KP454" i="121"/>
  <c r="L683" i="121"/>
  <c r="AK463" i="121"/>
  <c r="BH463" i="121"/>
  <c r="BZ463" i="121"/>
  <c r="CW463" i="121"/>
  <c r="DT463" i="121"/>
  <c r="EG463" i="121"/>
  <c r="EZ463" i="121"/>
  <c r="FR463" i="121"/>
  <c r="GD463" i="121"/>
  <c r="GV463" i="121"/>
  <c r="HN463" i="121"/>
  <c r="LI463" i="121"/>
  <c r="MD463" i="121"/>
  <c r="AR463" i="121"/>
  <c r="BJ463" i="121"/>
  <c r="CG463" i="121"/>
  <c r="DD463" i="121"/>
  <c r="DV463" i="121"/>
  <c r="EJ463" i="121"/>
  <c r="FB463" i="121"/>
  <c r="FX463" i="121"/>
  <c r="GF463" i="121"/>
  <c r="GX463" i="121"/>
  <c r="HU463" i="121"/>
  <c r="LP463" i="121"/>
  <c r="AS463" i="121"/>
  <c r="BP463" i="121"/>
  <c r="CH463" i="121"/>
  <c r="DE463" i="121"/>
  <c r="EB463" i="121"/>
  <c r="EK463" i="121"/>
  <c r="FH463" i="121"/>
  <c r="FY463" i="121"/>
  <c r="GG463" i="121"/>
  <c r="HD463" i="121"/>
  <c r="HV463" i="121"/>
  <c r="LQ463" i="121"/>
  <c r="AB463" i="121"/>
  <c r="AT463" i="121"/>
  <c r="BQ463" i="121"/>
  <c r="CN463" i="121"/>
  <c r="DF463" i="121"/>
  <c r="EC463" i="121"/>
  <c r="EL463" i="121"/>
  <c r="FI463" i="121"/>
  <c r="FZ463" i="121"/>
  <c r="GH463" i="121"/>
  <c r="HE463" i="121"/>
  <c r="LW463" i="121"/>
  <c r="AC463" i="121"/>
  <c r="AZ463" i="121"/>
  <c r="BR463" i="121"/>
  <c r="CO463" i="121"/>
  <c r="DL463" i="121"/>
  <c r="ED463" i="121"/>
  <c r="ER463" i="121"/>
  <c r="FJ463" i="121"/>
  <c r="GA463" i="121"/>
  <c r="GN463" i="121"/>
  <c r="HF463" i="121"/>
  <c r="LX463" i="121"/>
  <c r="AD463" i="121"/>
  <c r="BA463" i="121"/>
  <c r="BX463" i="121"/>
  <c r="CP463" i="121"/>
  <c r="DM463" i="121"/>
  <c r="EE463" i="121"/>
  <c r="ES463" i="121"/>
  <c r="FP463" i="121"/>
  <c r="GB463" i="121"/>
  <c r="GO463" i="121"/>
  <c r="HL463" i="121"/>
  <c r="LG463" i="121"/>
  <c r="DI461" i="121"/>
  <c r="GK461" i="121"/>
  <c r="CG461" i="121"/>
  <c r="FI461" i="121"/>
  <c r="Y461" i="121"/>
  <c r="BE461" i="121"/>
  <c r="CK461" i="121"/>
  <c r="DQ461" i="121"/>
  <c r="EH461" i="121"/>
  <c r="FM461" i="121"/>
  <c r="GB461" i="121"/>
  <c r="GS461" i="121"/>
  <c r="AW461" i="121"/>
  <c r="EF461" i="121"/>
  <c r="LZ461" i="121"/>
  <c r="BA461" i="121"/>
  <c r="EG461" i="121"/>
  <c r="GA461" i="121"/>
  <c r="AC461" i="121"/>
  <c r="BI461" i="121"/>
  <c r="CO461" i="121"/>
  <c r="DU461" i="121"/>
  <c r="EK461" i="121"/>
  <c r="FQ461" i="121"/>
  <c r="GC461" i="121"/>
  <c r="GX461" i="121"/>
  <c r="CC461" i="121"/>
  <c r="FE461" i="121"/>
  <c r="FZ461" i="121"/>
  <c r="DM461" i="121"/>
  <c r="GO461" i="121"/>
  <c r="AG461" i="121"/>
  <c r="BM461" i="121"/>
  <c r="CS461" i="121"/>
  <c r="DY461" i="121"/>
  <c r="EO461" i="121"/>
  <c r="FU461" i="121"/>
  <c r="GD461" i="121"/>
  <c r="AA459" i="121"/>
  <c r="CM459" i="121"/>
  <c r="FO459" i="121"/>
  <c r="LT459" i="121"/>
  <c r="AB459" i="121"/>
  <c r="CN459" i="121"/>
  <c r="EJ459" i="121"/>
  <c r="FP459" i="121"/>
  <c r="GF459" i="121"/>
  <c r="GV459" i="121"/>
  <c r="LU459" i="121"/>
  <c r="BW459" i="121"/>
  <c r="EI459" i="121"/>
  <c r="GE459" i="121"/>
  <c r="AR459" i="121"/>
  <c r="DD459" i="121"/>
  <c r="EZ459" i="121"/>
  <c r="AC459" i="121"/>
  <c r="AS459" i="121"/>
  <c r="BI459" i="121"/>
  <c r="BY459" i="121"/>
  <c r="CO459" i="121"/>
  <c r="DE459" i="121"/>
  <c r="DU459" i="121"/>
  <c r="EK459" i="121"/>
  <c r="FA459" i="121"/>
  <c r="FQ459" i="121"/>
  <c r="GG459" i="121"/>
  <c r="GW459" i="121"/>
  <c r="HM459" i="121"/>
  <c r="LV459" i="121"/>
  <c r="AQ459" i="121"/>
  <c r="DC459" i="121"/>
  <c r="EY459" i="121"/>
  <c r="GU459" i="121"/>
  <c r="BH459" i="121"/>
  <c r="HL459" i="121"/>
  <c r="AH459" i="121"/>
  <c r="AX459" i="121"/>
  <c r="BN459" i="121"/>
  <c r="CD459" i="121"/>
  <c r="CT459" i="121"/>
  <c r="DJ459" i="121"/>
  <c r="DZ459" i="121"/>
  <c r="EP459" i="121"/>
  <c r="FF459" i="121"/>
  <c r="FV459" i="121"/>
  <c r="GL459" i="121"/>
  <c r="HB459" i="121"/>
  <c r="HR459" i="121"/>
  <c r="LK459" i="121"/>
  <c r="MA459" i="121"/>
  <c r="BG459" i="121"/>
  <c r="DS459" i="121"/>
  <c r="HK459" i="121"/>
  <c r="BX459" i="121"/>
  <c r="DT459" i="121"/>
  <c r="AI459" i="121"/>
  <c r="AY459" i="121"/>
  <c r="BO459" i="121"/>
  <c r="CE459" i="121"/>
  <c r="CU459" i="121"/>
  <c r="DK459" i="121"/>
  <c r="EA459" i="121"/>
  <c r="EQ459" i="121"/>
  <c r="FG459" i="121"/>
  <c r="FW459" i="121"/>
  <c r="GM459" i="121"/>
  <c r="HC459" i="121"/>
  <c r="HS459" i="121"/>
  <c r="LL459" i="121"/>
  <c r="A454" i="121"/>
  <c r="A452" i="121"/>
  <c r="FT452" i="121"/>
  <c r="MK460" i="121"/>
  <c r="MT459" i="121"/>
  <c r="ML459" i="121"/>
  <c r="AP458" i="121"/>
  <c r="MK458" i="121"/>
  <c r="ML458" i="121"/>
  <c r="MI458" i="121"/>
  <c r="B488"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ID460" i="121"/>
  <c r="KO460" i="121"/>
  <c r="LL460" i="121"/>
  <c r="LT460" i="121"/>
  <c r="MB460" i="121"/>
  <c r="MN460"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IK460" i="121"/>
  <c r="KW460" i="121"/>
  <c r="LM460" i="121"/>
  <c r="LU460" i="121"/>
  <c r="MC460" i="121"/>
  <c r="MO460"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JA460" i="121"/>
  <c r="LG460" i="121"/>
  <c r="LO460" i="121"/>
  <c r="LW460" i="121"/>
  <c r="ME460"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HZ460" i="121"/>
  <c r="JI460" i="121"/>
  <c r="LH460" i="121"/>
  <c r="LP460" i="121"/>
  <c r="LX460" i="121"/>
  <c r="MH460" i="12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IA460" i="121"/>
  <c r="JQ460" i="121"/>
  <c r="LI460" i="121"/>
  <c r="LQ460" i="121"/>
  <c r="LY460" i="121"/>
  <c r="AD459" i="121"/>
  <c r="AL459" i="121"/>
  <c r="AT459" i="121"/>
  <c r="BB459" i="121"/>
  <c r="BJ459" i="121"/>
  <c r="BR459" i="121"/>
  <c r="BZ459" i="121"/>
  <c r="CH459" i="121"/>
  <c r="CP459" i="121"/>
  <c r="CX459" i="121"/>
  <c r="DF459" i="121"/>
  <c r="DN459" i="121"/>
  <c r="DV459" i="121"/>
  <c r="ED459" i="121"/>
  <c r="EL459" i="121"/>
  <c r="ET459" i="121"/>
  <c r="FB459" i="121"/>
  <c r="FJ459" i="121"/>
  <c r="FR459" i="121"/>
  <c r="FZ459" i="121"/>
  <c r="GH459" i="121"/>
  <c r="GP459" i="121"/>
  <c r="GX459" i="121"/>
  <c r="HF459" i="121"/>
  <c r="HN459" i="121"/>
  <c r="HV459" i="121"/>
  <c r="ID459" i="121"/>
  <c r="JR459" i="121"/>
  <c r="LG459" i="121"/>
  <c r="LO459" i="121"/>
  <c r="LW459" i="121"/>
  <c r="ME459" i="121"/>
  <c r="CI459" i="121"/>
  <c r="CQ459" i="121"/>
  <c r="CY459" i="121"/>
  <c r="DG459" i="121"/>
  <c r="DO459" i="121"/>
  <c r="DW459" i="121"/>
  <c r="EE459" i="121"/>
  <c r="EM459" i="121"/>
  <c r="EU459" i="121"/>
  <c r="FC459" i="121"/>
  <c r="FK459" i="121"/>
  <c r="FS459" i="121"/>
  <c r="GA459" i="121"/>
  <c r="GI459" i="121"/>
  <c r="GQ459" i="121"/>
  <c r="GY459" i="121"/>
  <c r="HG459" i="121"/>
  <c r="HO459" i="121"/>
  <c r="HW459" i="121"/>
  <c r="IF459" i="121"/>
  <c r="JW459" i="121"/>
  <c r="LH459" i="121"/>
  <c r="LP459" i="121"/>
  <c r="LX459" i="121"/>
  <c r="MF459" i="121"/>
  <c r="AM459" i="121"/>
  <c r="BC459" i="121"/>
  <c r="CA459" i="121"/>
  <c r="X459" i="121"/>
  <c r="AF459" i="121"/>
  <c r="AN459" i="121"/>
  <c r="AV459" i="121"/>
  <c r="BD459" i="121"/>
  <c r="BL459" i="121"/>
  <c r="BT459" i="121"/>
  <c r="CB459" i="121"/>
  <c r="CJ459" i="121"/>
  <c r="CR459" i="121"/>
  <c r="CZ459" i="121"/>
  <c r="DH459" i="121"/>
  <c r="DP459" i="121"/>
  <c r="DX459" i="121"/>
  <c r="EF459" i="121"/>
  <c r="EN459" i="121"/>
  <c r="EV459" i="121"/>
  <c r="FD459" i="121"/>
  <c r="FL459" i="121"/>
  <c r="FT459" i="121"/>
  <c r="GB459" i="121"/>
  <c r="GJ459" i="121"/>
  <c r="GR459" i="121"/>
  <c r="GZ459" i="121"/>
  <c r="HH459" i="121"/>
  <c r="HP459" i="121"/>
  <c r="HX459" i="121"/>
  <c r="IL459" i="121"/>
  <c r="KB459" i="121"/>
  <c r="LI459" i="121"/>
  <c r="LQ459" i="121"/>
  <c r="LY459" i="121"/>
  <c r="MK459" i="121"/>
  <c r="AE459" i="121"/>
  <c r="AU459" i="121"/>
  <c r="BK459" i="121"/>
  <c r="BS459" i="121"/>
  <c r="Y459" i="121"/>
  <c r="AG459" i="121"/>
  <c r="AO459" i="121"/>
  <c r="AW459" i="121"/>
  <c r="BE459" i="121"/>
  <c r="BM459" i="121"/>
  <c r="BU459" i="121"/>
  <c r="CC459" i="121"/>
  <c r="CK459" i="121"/>
  <c r="CS459" i="121"/>
  <c r="DA459" i="121"/>
  <c r="DI459" i="121"/>
  <c r="DQ459" i="121"/>
  <c r="DY459" i="121"/>
  <c r="EG459" i="121"/>
  <c r="EO459" i="121"/>
  <c r="EW459" i="121"/>
  <c r="FE459" i="121"/>
  <c r="FM459" i="121"/>
  <c r="FU459" i="121"/>
  <c r="GC459" i="121"/>
  <c r="GK459" i="121"/>
  <c r="GS459" i="121"/>
  <c r="HA459" i="121"/>
  <c r="HI459" i="121"/>
  <c r="HQ459" i="121"/>
  <c r="HY459" i="121"/>
  <c r="IQ459" i="121"/>
  <c r="KH459" i="121"/>
  <c r="LJ459" i="121"/>
  <c r="LR459" i="121"/>
  <c r="LZ459" i="121"/>
  <c r="AA458" i="121"/>
  <c r="AI458" i="121"/>
  <c r="AQ458" i="121"/>
  <c r="AY458" i="121"/>
  <c r="BG458" i="121"/>
  <c r="BO458" i="121"/>
  <c r="BW458" i="121"/>
  <c r="CE458" i="121"/>
  <c r="CM458" i="121"/>
  <c r="CU458" i="121"/>
  <c r="DC458" i="121"/>
  <c r="DK458" i="121"/>
  <c r="DS458" i="121"/>
  <c r="EA458" i="121"/>
  <c r="EI458" i="121"/>
  <c r="EQ458" i="121"/>
  <c r="EY458" i="121"/>
  <c r="FG458" i="121"/>
  <c r="FO458" i="121"/>
  <c r="FW458" i="121"/>
  <c r="GE458" i="121"/>
  <c r="GM458" i="121"/>
  <c r="GU458" i="121"/>
  <c r="HC458" i="121"/>
  <c r="HK458" i="121"/>
  <c r="HS458" i="121"/>
  <c r="IA458" i="121"/>
  <c r="JD458" i="121"/>
  <c r="KU458" i="121"/>
  <c r="LL458" i="121"/>
  <c r="LT458" i="121"/>
  <c r="MB458" i="121"/>
  <c r="MN458" i="121"/>
  <c r="AB458" i="121"/>
  <c r="AJ458" i="121"/>
  <c r="AR458" i="121"/>
  <c r="AZ458" i="121"/>
  <c r="BH458" i="121"/>
  <c r="BP458" i="121"/>
  <c r="BX458" i="121"/>
  <c r="CF458" i="121"/>
  <c r="CN458" i="121"/>
  <c r="CV458" i="121"/>
  <c r="DD458" i="121"/>
  <c r="DL458" i="121"/>
  <c r="DT458" i="121"/>
  <c r="EB458" i="121"/>
  <c r="EJ458" i="121"/>
  <c r="ER458" i="121"/>
  <c r="EZ458" i="121"/>
  <c r="FH458" i="121"/>
  <c r="FP458" i="121"/>
  <c r="FX458" i="121"/>
  <c r="GF458" i="121"/>
  <c r="GN458" i="121"/>
  <c r="GV458" i="121"/>
  <c r="HD458" i="121"/>
  <c r="HL458" i="121"/>
  <c r="HT458" i="121"/>
  <c r="IB458" i="121"/>
  <c r="JI458" i="121"/>
  <c r="KZ458" i="121"/>
  <c r="LM458" i="121"/>
  <c r="LU458" i="121"/>
  <c r="MC458" i="121"/>
  <c r="MO458" i="121"/>
  <c r="AC458" i="121"/>
  <c r="AK458" i="121"/>
  <c r="AS458" i="121"/>
  <c r="BA458" i="121"/>
  <c r="BI458" i="121"/>
  <c r="BQ458" i="121"/>
  <c r="BY458" i="121"/>
  <c r="CG458" i="121"/>
  <c r="CO458" i="121"/>
  <c r="CW458" i="121"/>
  <c r="DE458" i="121"/>
  <c r="DM458" i="121"/>
  <c r="DU458" i="121"/>
  <c r="EC458" i="121"/>
  <c r="EK458" i="121"/>
  <c r="ES458" i="121"/>
  <c r="FA458" i="121"/>
  <c r="FI458" i="121"/>
  <c r="FQ458" i="121"/>
  <c r="FY458" i="121"/>
  <c r="GG458" i="121"/>
  <c r="GO458" i="121"/>
  <c r="GW458" i="121"/>
  <c r="HE458" i="121"/>
  <c r="HM458" i="121"/>
  <c r="HU458" i="121"/>
  <c r="IC458" i="121"/>
  <c r="JO458" i="121"/>
  <c r="LE458" i="121"/>
  <c r="LN458" i="121"/>
  <c r="LV458" i="121"/>
  <c r="MD458" i="121"/>
  <c r="MR458" i="121"/>
  <c r="AD458" i="121"/>
  <c r="AL458" i="121"/>
  <c r="AT458" i="121"/>
  <c r="BB458" i="121"/>
  <c r="BJ458" i="121"/>
  <c r="BR458" i="121"/>
  <c r="BZ458" i="121"/>
  <c r="CH458" i="121"/>
  <c r="CP458" i="121"/>
  <c r="CX458" i="121"/>
  <c r="DF458" i="121"/>
  <c r="DN458" i="121"/>
  <c r="DV458" i="121"/>
  <c r="ED458" i="121"/>
  <c r="EL458" i="121"/>
  <c r="ET458" i="121"/>
  <c r="FB458" i="121"/>
  <c r="FJ458" i="121"/>
  <c r="FR458" i="121"/>
  <c r="FZ458" i="121"/>
  <c r="GH458" i="121"/>
  <c r="GP458" i="121"/>
  <c r="GX458" i="121"/>
  <c r="HF458" i="121"/>
  <c r="HN458" i="121"/>
  <c r="HV458" i="121"/>
  <c r="ID458" i="121"/>
  <c r="JT458" i="121"/>
  <c r="LG458" i="121"/>
  <c r="LO458" i="121"/>
  <c r="LW458" i="121"/>
  <c r="ME458" i="121"/>
  <c r="AE458" i="121"/>
  <c r="AM458" i="121"/>
  <c r="AU458" i="121"/>
  <c r="BC458" i="121"/>
  <c r="BK458" i="121"/>
  <c r="BS458" i="121"/>
  <c r="CA458" i="121"/>
  <c r="CI458" i="121"/>
  <c r="CQ458" i="121"/>
  <c r="CY458" i="121"/>
  <c r="DG458" i="121"/>
  <c r="DO458" i="121"/>
  <c r="DW458" i="121"/>
  <c r="EE458" i="121"/>
  <c r="EM458" i="121"/>
  <c r="EU458" i="121"/>
  <c r="FC458" i="121"/>
  <c r="FK458" i="121"/>
  <c r="FS458" i="121"/>
  <c r="GA458" i="121"/>
  <c r="GI458" i="121"/>
  <c r="GQ458" i="121"/>
  <c r="GY458" i="121"/>
  <c r="HG458" i="121"/>
  <c r="HO458" i="121"/>
  <c r="HW458" i="121"/>
  <c r="II458" i="121"/>
  <c r="JY458" i="121"/>
  <c r="LH458" i="121"/>
  <c r="LP458" i="121"/>
  <c r="LX458" i="121"/>
  <c r="AK456" i="121"/>
  <c r="BF456" i="121"/>
  <c r="CC456" i="121"/>
  <c r="CW456" i="121"/>
  <c r="DR456" i="121"/>
  <c r="EG456" i="121"/>
  <c r="FA456" i="121"/>
  <c r="FV456" i="121"/>
  <c r="GD456" i="121"/>
  <c r="GT456" i="121"/>
  <c r="HQ456" i="121"/>
  <c r="ID456" i="121"/>
  <c r="JQ456" i="121"/>
  <c r="LJ456" i="121"/>
  <c r="MD456" i="121"/>
  <c r="LY456" i="121"/>
  <c r="AP456" i="121"/>
  <c r="BM456" i="121"/>
  <c r="CG456" i="121"/>
  <c r="DB456" i="121"/>
  <c r="DY456" i="121"/>
  <c r="EK456" i="121"/>
  <c r="FF456" i="121"/>
  <c r="FX456" i="121"/>
  <c r="GF456" i="121"/>
  <c r="HA456" i="121"/>
  <c r="HU456" i="121"/>
  <c r="IK456" i="121"/>
  <c r="KB456" i="121"/>
  <c r="LN456" i="121"/>
  <c r="MK456" i="121"/>
  <c r="Y456" i="121"/>
  <c r="AS456" i="121"/>
  <c r="BN456" i="121"/>
  <c r="CK456" i="121"/>
  <c r="DE456" i="121"/>
  <c r="DZ456" i="121"/>
  <c r="EO456" i="121"/>
  <c r="FI456" i="121"/>
  <c r="FY456" i="121"/>
  <c r="GG456" i="121"/>
  <c r="HB456" i="121"/>
  <c r="HY456" i="121"/>
  <c r="IQ456" i="121"/>
  <c r="KG456" i="121"/>
  <c r="LR456" i="121"/>
  <c r="ML456" i="121"/>
  <c r="Z456" i="121"/>
  <c r="AW456" i="121"/>
  <c r="BQ456" i="121"/>
  <c r="CL456" i="121"/>
  <c r="DI456" i="121"/>
  <c r="EC456" i="121"/>
  <c r="EP456" i="121"/>
  <c r="FM456" i="121"/>
  <c r="FZ456" i="121"/>
  <c r="GK456" i="121"/>
  <c r="HE456" i="121"/>
  <c r="HZ456" i="121"/>
  <c r="HZ487" i="121" s="1"/>
  <c r="IV456" i="121"/>
  <c r="KM456" i="121"/>
  <c r="LS456" i="121"/>
  <c r="MM456" i="121"/>
  <c r="AC456" i="121"/>
  <c r="AX456" i="121"/>
  <c r="BU456" i="121"/>
  <c r="CO456" i="121"/>
  <c r="DJ456" i="121"/>
  <c r="ED456" i="121"/>
  <c r="ES456" i="121"/>
  <c r="FN456" i="121"/>
  <c r="GA456" i="121"/>
  <c r="GL456" i="121"/>
  <c r="HI456" i="121"/>
  <c r="IA456" i="121"/>
  <c r="JA456" i="121"/>
  <c r="KR456" i="121"/>
  <c r="LV456" i="121"/>
  <c r="MN456" i="121"/>
  <c r="AG456" i="121"/>
  <c r="BA456" i="121"/>
  <c r="BV456" i="121"/>
  <c r="CS456" i="121"/>
  <c r="DM456" i="121"/>
  <c r="EE456" i="121"/>
  <c r="EW456" i="121"/>
  <c r="FQ456" i="121"/>
  <c r="GB456" i="121"/>
  <c r="GO456" i="121"/>
  <c r="HJ456" i="121"/>
  <c r="IB456" i="121"/>
  <c r="IB487" i="121" s="1"/>
  <c r="JG456" i="121"/>
  <c r="KW456" i="121"/>
  <c r="LZ456" i="121"/>
  <c r="AE463" i="121"/>
  <c r="AM463" i="121"/>
  <c r="AU463" i="121"/>
  <c r="BC463" i="121"/>
  <c r="BK463" i="121"/>
  <c r="BS463" i="121"/>
  <c r="CA463" i="121"/>
  <c r="CI463" i="121"/>
  <c r="CQ463" i="121"/>
  <c r="CY463" i="121"/>
  <c r="DG463" i="121"/>
  <c r="DO463" i="121"/>
  <c r="DW463" i="121"/>
  <c r="EM463" i="121"/>
  <c r="EU463" i="121"/>
  <c r="FC463" i="121"/>
  <c r="FK463" i="121"/>
  <c r="FS463" i="121"/>
  <c r="GI463" i="121"/>
  <c r="GQ463" i="121"/>
  <c r="GY463" i="121"/>
  <c r="HG463" i="121"/>
  <c r="HO463" i="121"/>
  <c r="HW463" i="121"/>
  <c r="LJ463" i="121"/>
  <c r="LR463" i="121"/>
  <c r="LZ463" i="121"/>
  <c r="X463" i="121"/>
  <c r="AF463" i="121"/>
  <c r="AN463" i="121"/>
  <c r="AV463" i="121"/>
  <c r="BD463" i="121"/>
  <c r="BL463" i="121"/>
  <c r="BT463" i="121"/>
  <c r="CB463" i="121"/>
  <c r="CJ463" i="121"/>
  <c r="CR463" i="121"/>
  <c r="CZ463" i="121"/>
  <c r="DH463" i="121"/>
  <c r="DP463" i="121"/>
  <c r="DX463" i="121"/>
  <c r="EN463" i="121"/>
  <c r="EV463" i="121"/>
  <c r="FD463" i="121"/>
  <c r="FL463" i="121"/>
  <c r="FT463" i="121"/>
  <c r="GJ463" i="121"/>
  <c r="GR463" i="121"/>
  <c r="GZ463" i="121"/>
  <c r="HH463" i="121"/>
  <c r="HP463" i="121"/>
  <c r="HX463" i="121"/>
  <c r="LK463" i="121"/>
  <c r="LS463" i="121"/>
  <c r="MA463" i="121"/>
  <c r="Y463" i="121"/>
  <c r="AG463" i="121"/>
  <c r="AO463" i="121"/>
  <c r="AW463" i="121"/>
  <c r="BE463" i="121"/>
  <c r="BM463" i="121"/>
  <c r="BU463" i="121"/>
  <c r="CC463" i="121"/>
  <c r="CK463" i="121"/>
  <c r="CS463" i="121"/>
  <c r="DA463" i="121"/>
  <c r="DI463" i="121"/>
  <c r="DQ463" i="121"/>
  <c r="DY463" i="121"/>
  <c r="EO463" i="121"/>
  <c r="EW463" i="121"/>
  <c r="FE463" i="121"/>
  <c r="FM463" i="121"/>
  <c r="FU463" i="121"/>
  <c r="GK463" i="121"/>
  <c r="GS463" i="121"/>
  <c r="HA463" i="121"/>
  <c r="HI463" i="121"/>
  <c r="HQ463" i="121"/>
  <c r="HY463" i="121"/>
  <c r="LL463" i="121"/>
  <c r="LT463" i="121"/>
  <c r="MB463" i="121"/>
  <c r="Z463" i="121"/>
  <c r="AH463" i="121"/>
  <c r="AP463" i="121"/>
  <c r="AX463" i="121"/>
  <c r="BF463" i="121"/>
  <c r="BN463" i="121"/>
  <c r="BV463" i="121"/>
  <c r="CD463" i="121"/>
  <c r="CL463" i="121"/>
  <c r="CT463" i="121"/>
  <c r="DB463" i="121"/>
  <c r="DJ463" i="121"/>
  <c r="DR463" i="121"/>
  <c r="DZ463" i="121"/>
  <c r="EP463" i="121"/>
  <c r="EX463" i="121"/>
  <c r="FF463" i="121"/>
  <c r="FN463" i="121"/>
  <c r="FV463" i="121"/>
  <c r="GL463" i="121"/>
  <c r="GT463" i="121"/>
  <c r="HB463" i="121"/>
  <c r="HJ463" i="121"/>
  <c r="HR463" i="121"/>
  <c r="LM463" i="121"/>
  <c r="LU463" i="121"/>
  <c r="MC463" i="121"/>
  <c r="AA463" i="121"/>
  <c r="AI463" i="121"/>
  <c r="AQ463" i="121"/>
  <c r="AY463" i="121"/>
  <c r="BG463" i="121"/>
  <c r="BO463" i="121"/>
  <c r="BW463" i="121"/>
  <c r="CE463" i="121"/>
  <c r="CM463" i="121"/>
  <c r="CU463" i="121"/>
  <c r="DC463" i="121"/>
  <c r="DK463" i="121"/>
  <c r="DS463" i="121"/>
  <c r="EA463" i="121"/>
  <c r="EI463" i="121"/>
  <c r="EQ463" i="121"/>
  <c r="EY463" i="121"/>
  <c r="FG463" i="121"/>
  <c r="FO463" i="121"/>
  <c r="GM463" i="121"/>
  <c r="GU463" i="121"/>
  <c r="HC463" i="121"/>
  <c r="HK463" i="121"/>
  <c r="HS463" i="121"/>
  <c r="LN463" i="121"/>
  <c r="LV463" i="121"/>
  <c r="AO457" i="121"/>
  <c r="EW457" i="121"/>
  <c r="DE457" i="121"/>
  <c r="GG457" i="121"/>
  <c r="AW457" i="121"/>
  <c r="FE457" i="121"/>
  <c r="HQ457" i="121"/>
  <c r="BA457" i="121"/>
  <c r="CG457" i="121"/>
  <c r="DM457" i="121"/>
  <c r="FI457" i="121"/>
  <c r="GO457" i="121"/>
  <c r="HU457" i="121"/>
  <c r="LQ457" i="121"/>
  <c r="BU457" i="121"/>
  <c r="DA457" i="121"/>
  <c r="BY457" i="121"/>
  <c r="LI457" i="121"/>
  <c r="DI457" i="121"/>
  <c r="GK457" i="121"/>
  <c r="Y457" i="121"/>
  <c r="BE457" i="121"/>
  <c r="CK457" i="121"/>
  <c r="DQ457" i="121"/>
  <c r="FM457" i="121"/>
  <c r="GS457" i="121"/>
  <c r="HY457" i="121"/>
  <c r="LU457" i="121"/>
  <c r="HI457" i="121"/>
  <c r="AS457" i="121"/>
  <c r="FA457" i="121"/>
  <c r="HM457" i="121"/>
  <c r="CC457" i="121"/>
  <c r="LM457" i="121"/>
  <c r="AC457" i="121"/>
  <c r="BI457" i="121"/>
  <c r="CO457" i="121"/>
  <c r="DU457" i="121"/>
  <c r="EK457" i="121"/>
  <c r="FQ457" i="121"/>
  <c r="GW457" i="121"/>
  <c r="LY457" i="121"/>
  <c r="AG457" i="121"/>
  <c r="BM457" i="121"/>
  <c r="CS457" i="121"/>
  <c r="DY457" i="121"/>
  <c r="EO457" i="121"/>
  <c r="FU457" i="121"/>
  <c r="HA457" i="121"/>
  <c r="MC457" i="121"/>
  <c r="AA456" i="121"/>
  <c r="AI456" i="121"/>
  <c r="AQ456" i="121"/>
  <c r="AY456" i="121"/>
  <c r="BG456" i="121"/>
  <c r="BO456" i="121"/>
  <c r="BW456" i="121"/>
  <c r="CE456" i="121"/>
  <c r="CM456" i="121"/>
  <c r="CU456" i="121"/>
  <c r="DC456" i="121"/>
  <c r="DK456" i="121"/>
  <c r="DS456" i="121"/>
  <c r="EA456" i="121"/>
  <c r="EI456" i="121"/>
  <c r="EQ456" i="121"/>
  <c r="EY456" i="121"/>
  <c r="FG456" i="121"/>
  <c r="FO456" i="121"/>
  <c r="GM456" i="121"/>
  <c r="GU456" i="121"/>
  <c r="HC456" i="121"/>
  <c r="HK456" i="121"/>
  <c r="HS456" i="121"/>
  <c r="LL456" i="121"/>
  <c r="LT456" i="121"/>
  <c r="MB456" i="121"/>
  <c r="AB456" i="121"/>
  <c r="AJ456" i="121"/>
  <c r="AR456" i="121"/>
  <c r="AZ456" i="121"/>
  <c r="BH456" i="121"/>
  <c r="BP456" i="121"/>
  <c r="BX456" i="121"/>
  <c r="CF456" i="121"/>
  <c r="CN456" i="121"/>
  <c r="CV456" i="121"/>
  <c r="DD456" i="121"/>
  <c r="DL456" i="121"/>
  <c r="DT456" i="121"/>
  <c r="EB456" i="121"/>
  <c r="EJ456" i="121"/>
  <c r="ER456" i="121"/>
  <c r="EZ456" i="121"/>
  <c r="FH456" i="121"/>
  <c r="FP456" i="121"/>
  <c r="GN456" i="121"/>
  <c r="GV456" i="121"/>
  <c r="HD456" i="121"/>
  <c r="HL456" i="121"/>
  <c r="HT456" i="121"/>
  <c r="LM456" i="121"/>
  <c r="LU456" i="121"/>
  <c r="MC456" i="121"/>
  <c r="AD456" i="121"/>
  <c r="AL456" i="121"/>
  <c r="AT456" i="121"/>
  <c r="BB456" i="121"/>
  <c r="BJ456" i="121"/>
  <c r="BR456" i="121"/>
  <c r="BZ456" i="121"/>
  <c r="CH456" i="121"/>
  <c r="CP456" i="121"/>
  <c r="CX456" i="121"/>
  <c r="DF456" i="121"/>
  <c r="DN456" i="121"/>
  <c r="DV456" i="121"/>
  <c r="EL456" i="121"/>
  <c r="ET456" i="121"/>
  <c r="FB456" i="121"/>
  <c r="FJ456" i="121"/>
  <c r="FR456" i="121"/>
  <c r="GH456" i="121"/>
  <c r="GP456" i="121"/>
  <c r="GX456" i="121"/>
  <c r="HF456" i="121"/>
  <c r="HN456" i="121"/>
  <c r="HV456" i="121"/>
  <c r="LG456" i="121"/>
  <c r="LO456" i="121"/>
  <c r="LW456" i="121"/>
  <c r="ME456" i="121"/>
  <c r="AE456" i="121"/>
  <c r="AM456" i="121"/>
  <c r="AU456" i="121"/>
  <c r="BC456" i="121"/>
  <c r="BK456" i="121"/>
  <c r="BS456" i="121"/>
  <c r="CA456" i="121"/>
  <c r="CI456" i="121"/>
  <c r="CQ456" i="121"/>
  <c r="CY456" i="121"/>
  <c r="DG456" i="121"/>
  <c r="DO456" i="121"/>
  <c r="DW456" i="121"/>
  <c r="EM456" i="121"/>
  <c r="EU456" i="121"/>
  <c r="FC456" i="121"/>
  <c r="FK456" i="121"/>
  <c r="FS456" i="121"/>
  <c r="GI456" i="121"/>
  <c r="GQ456" i="121"/>
  <c r="GY456" i="121"/>
  <c r="HG456" i="121"/>
  <c r="HO456" i="121"/>
  <c r="HW456" i="121"/>
  <c r="LH456" i="121"/>
  <c r="LP456" i="121"/>
  <c r="LX456" i="121"/>
  <c r="X456" i="121"/>
  <c r="AF456" i="121"/>
  <c r="AN456" i="121"/>
  <c r="AV456" i="121"/>
  <c r="BD456" i="121"/>
  <c r="BL456" i="121"/>
  <c r="BT456" i="121"/>
  <c r="CB456" i="121"/>
  <c r="CJ456" i="121"/>
  <c r="CR456" i="121"/>
  <c r="CZ456" i="121"/>
  <c r="DH456" i="121"/>
  <c r="DP456" i="121"/>
  <c r="DX456" i="121"/>
  <c r="EN456" i="121"/>
  <c r="EV456" i="121"/>
  <c r="FD456" i="121"/>
  <c r="FL456" i="121"/>
  <c r="FT456" i="121"/>
  <c r="GJ456" i="121"/>
  <c r="GR456" i="121"/>
  <c r="GZ456" i="121"/>
  <c r="HH456" i="121"/>
  <c r="HP456" i="121"/>
  <c r="HX456" i="121"/>
  <c r="LI456" i="121"/>
  <c r="LQ456" i="121"/>
  <c r="MM453" i="121"/>
  <c r="MT451" i="121"/>
  <c r="IB453" i="121"/>
  <c r="IN453" i="121"/>
  <c r="JD453" i="121"/>
  <c r="JT453" i="121"/>
  <c r="KJ453" i="121"/>
  <c r="KZ453" i="121"/>
  <c r="MP453" i="121"/>
  <c r="IC453" i="121"/>
  <c r="IQ453" i="121"/>
  <c r="JG453" i="121"/>
  <c r="JW453" i="121"/>
  <c r="KM453" i="121"/>
  <c r="LC453" i="121"/>
  <c r="MH453" i="121"/>
  <c r="MQ453" i="121"/>
  <c r="ID453" i="121"/>
  <c r="IR453" i="121"/>
  <c r="JH453" i="121"/>
  <c r="JX453" i="121"/>
  <c r="KN453" i="121"/>
  <c r="LD453" i="121"/>
  <c r="MI453" i="121"/>
  <c r="MT453" i="121"/>
  <c r="IE453" i="121"/>
  <c r="IU453" i="121"/>
  <c r="JK453" i="121"/>
  <c r="KA453" i="121"/>
  <c r="KQ453" i="121"/>
  <c r="MK453" i="121"/>
  <c r="IF453" i="121"/>
  <c r="IV453" i="121"/>
  <c r="JL453" i="121"/>
  <c r="KB453" i="121"/>
  <c r="KR453" i="121"/>
  <c r="ML453" i="121"/>
  <c r="II453" i="121"/>
  <c r="IY453" i="121"/>
  <c r="JO453" i="121"/>
  <c r="KE453" i="121"/>
  <c r="KU453" i="121"/>
  <c r="MB453" i="121"/>
  <c r="Z451" i="121"/>
  <c r="AH451" i="121"/>
  <c r="AP451" i="121"/>
  <c r="AX451" i="121"/>
  <c r="BF451" i="121"/>
  <c r="BN451" i="121"/>
  <c r="BV451" i="121"/>
  <c r="CD451" i="121"/>
  <c r="CL451" i="121"/>
  <c r="CT451" i="121"/>
  <c r="DB451" i="121"/>
  <c r="DJ451" i="121"/>
  <c r="DR451" i="121"/>
  <c r="DZ451" i="121"/>
  <c r="EH451" i="121"/>
  <c r="EP451" i="121"/>
  <c r="EX451" i="121"/>
  <c r="FF451" i="121"/>
  <c r="FN451" i="121"/>
  <c r="FV451" i="121"/>
  <c r="GD451" i="121"/>
  <c r="GL451" i="121"/>
  <c r="GT451" i="121"/>
  <c r="HB451" i="121"/>
  <c r="HJ451" i="121"/>
  <c r="HR451" i="121"/>
  <c r="HZ451" i="121"/>
  <c r="IL451" i="121"/>
  <c r="JB451" i="121"/>
  <c r="JR451" i="121"/>
  <c r="KH451" i="121"/>
  <c r="KX451" i="121"/>
  <c r="LJ451" i="121"/>
  <c r="LR451" i="121"/>
  <c r="LZ451" i="121"/>
  <c r="MK451" i="121"/>
  <c r="AA451" i="121"/>
  <c r="AI451" i="121"/>
  <c r="AQ451" i="121"/>
  <c r="AY451" i="121"/>
  <c r="BG451" i="121"/>
  <c r="BO451" i="121"/>
  <c r="BW451" i="121"/>
  <c r="CE451" i="121"/>
  <c r="CM451" i="121"/>
  <c r="CU451" i="121"/>
  <c r="DC451" i="121"/>
  <c r="DK451" i="121"/>
  <c r="DS451" i="121"/>
  <c r="EA451" i="121"/>
  <c r="EI451" i="121"/>
  <c r="EQ451" i="121"/>
  <c r="EY451" i="121"/>
  <c r="FG451" i="121"/>
  <c r="FO451" i="121"/>
  <c r="FW451" i="121"/>
  <c r="GE451" i="121"/>
  <c r="GM451" i="121"/>
  <c r="GU451" i="121"/>
  <c r="HC451" i="121"/>
  <c r="HK451" i="121"/>
  <c r="HS451" i="121"/>
  <c r="IA451" i="121"/>
  <c r="IM451" i="121"/>
  <c r="JC451" i="121"/>
  <c r="JS451" i="121"/>
  <c r="KI451" i="121"/>
  <c r="KY451" i="121"/>
  <c r="LK451" i="121"/>
  <c r="LS451" i="121"/>
  <c r="MA451" i="121"/>
  <c r="ML451" i="121"/>
  <c r="AC451" i="121"/>
  <c r="BI451" i="121"/>
  <c r="BY451" i="121"/>
  <c r="CW451" i="121"/>
  <c r="DU451" i="121"/>
  <c r="EK451" i="121"/>
  <c r="FA451" i="121"/>
  <c r="FQ451" i="121"/>
  <c r="GW451" i="121"/>
  <c r="IC451" i="121"/>
  <c r="JW451" i="121"/>
  <c r="LC451" i="121"/>
  <c r="MN451" i="121"/>
  <c r="A451" i="121"/>
  <c r="AD451" i="121"/>
  <c r="AL451" i="121"/>
  <c r="AT451" i="121"/>
  <c r="BB451" i="121"/>
  <c r="BJ451" i="121"/>
  <c r="BR451" i="121"/>
  <c r="BZ451" i="121"/>
  <c r="CH451" i="121"/>
  <c r="CP451" i="121"/>
  <c r="CX451" i="121"/>
  <c r="DF451" i="121"/>
  <c r="DN451" i="121"/>
  <c r="DV451" i="121"/>
  <c r="ED451" i="121"/>
  <c r="EL451" i="121"/>
  <c r="ET451" i="121"/>
  <c r="FB451" i="121"/>
  <c r="FJ451" i="121"/>
  <c r="FR451" i="121"/>
  <c r="FZ451" i="121"/>
  <c r="GH451" i="121"/>
  <c r="GP451" i="121"/>
  <c r="GX451" i="121"/>
  <c r="HF451" i="121"/>
  <c r="HN451" i="121"/>
  <c r="HV451" i="121"/>
  <c r="ID451" i="121"/>
  <c r="IT451" i="121"/>
  <c r="JJ451" i="121"/>
  <c r="JZ451" i="121"/>
  <c r="KP451" i="121"/>
  <c r="LF451" i="121"/>
  <c r="LN451" i="121"/>
  <c r="LV451" i="121"/>
  <c r="MD451" i="121"/>
  <c r="MO451" i="121"/>
  <c r="AS451" i="121"/>
  <c r="BQ451" i="121"/>
  <c r="DE451" i="121"/>
  <c r="ES451" i="121"/>
  <c r="FI451" i="121"/>
  <c r="FY451" i="121"/>
  <c r="GO451" i="121"/>
  <c r="HU451" i="121"/>
  <c r="JG451" i="121"/>
  <c r="LM451" i="121"/>
  <c r="MC451" i="121"/>
  <c r="AE451" i="121"/>
  <c r="AM451" i="121"/>
  <c r="AU451" i="121"/>
  <c r="BC451" i="121"/>
  <c r="BK451" i="121"/>
  <c r="BS451" i="121"/>
  <c r="CA451" i="121"/>
  <c r="CI451" i="121"/>
  <c r="CQ451" i="121"/>
  <c r="CY451" i="121"/>
  <c r="DG451" i="121"/>
  <c r="DO451" i="121"/>
  <c r="DW451" i="121"/>
  <c r="EE451" i="121"/>
  <c r="EM451" i="121"/>
  <c r="EU451" i="121"/>
  <c r="FC451" i="121"/>
  <c r="FK451" i="121"/>
  <c r="FS451" i="121"/>
  <c r="GA451" i="121"/>
  <c r="GI451" i="121"/>
  <c r="GQ451" i="121"/>
  <c r="GY451" i="121"/>
  <c r="HG451" i="121"/>
  <c r="HO451" i="121"/>
  <c r="HW451" i="121"/>
  <c r="IE451" i="121"/>
  <c r="IU451" i="121"/>
  <c r="JK451" i="121"/>
  <c r="KA451" i="121"/>
  <c r="KQ451" i="121"/>
  <c r="LG451" i="121"/>
  <c r="LO451" i="121"/>
  <c r="LW451" i="121"/>
  <c r="ME451" i="121"/>
  <c r="MP451" i="121"/>
  <c r="AK451" i="121"/>
  <c r="CG451" i="121"/>
  <c r="DM451" i="121"/>
  <c r="GG451" i="121"/>
  <c r="HM451" i="121"/>
  <c r="IQ451" i="121"/>
  <c r="KM451" i="121"/>
  <c r="LU451" i="121"/>
  <c r="X451" i="121"/>
  <c r="AF451" i="121"/>
  <c r="AN451" i="121"/>
  <c r="AV451" i="121"/>
  <c r="BD451" i="121"/>
  <c r="BL451" i="121"/>
  <c r="BT451" i="121"/>
  <c r="CB451" i="121"/>
  <c r="CJ451" i="121"/>
  <c r="CR451" i="121"/>
  <c r="CZ451" i="121"/>
  <c r="DH451" i="121"/>
  <c r="DP451" i="121"/>
  <c r="DX451" i="121"/>
  <c r="EF451" i="121"/>
  <c r="EN451" i="121"/>
  <c r="EV451" i="121"/>
  <c r="FD451" i="121"/>
  <c r="FL451" i="121"/>
  <c r="FT451" i="121"/>
  <c r="GB451" i="121"/>
  <c r="GJ451" i="121"/>
  <c r="GR451" i="121"/>
  <c r="GZ451" i="121"/>
  <c r="HH451" i="121"/>
  <c r="HP451" i="121"/>
  <c r="HX451" i="121"/>
  <c r="IH451" i="121"/>
  <c r="IX451" i="121"/>
  <c r="JN451" i="121"/>
  <c r="KD451" i="121"/>
  <c r="KT451" i="121"/>
  <c r="LH451" i="121"/>
  <c r="LP451" i="121"/>
  <c r="LX451" i="121"/>
  <c r="MH451" i="121"/>
  <c r="MQ451" i="121"/>
  <c r="BA451" i="121"/>
  <c r="CO451" i="121"/>
  <c r="EC451" i="121"/>
  <c r="HE451" i="121"/>
  <c r="Y451" i="121"/>
  <c r="AG451" i="121"/>
  <c r="AO451" i="121"/>
  <c r="AW451" i="121"/>
  <c r="BE451" i="121"/>
  <c r="BM451" i="121"/>
  <c r="BU451" i="121"/>
  <c r="CC451" i="121"/>
  <c r="CK451" i="121"/>
  <c r="CS451" i="121"/>
  <c r="DA451" i="121"/>
  <c r="DI451" i="121"/>
  <c r="DQ451" i="121"/>
  <c r="DY451" i="121"/>
  <c r="EG451" i="121"/>
  <c r="EO451" i="121"/>
  <c r="EW451" i="121"/>
  <c r="FE451" i="121"/>
  <c r="FM451" i="121"/>
  <c r="FU451" i="121"/>
  <c r="GC451" i="121"/>
  <c r="GK451" i="121"/>
  <c r="GS451" i="121"/>
  <c r="HA451" i="121"/>
  <c r="HI451" i="121"/>
  <c r="HQ451" i="121"/>
  <c r="HY451" i="121"/>
  <c r="II451" i="121"/>
  <c r="IY451" i="121"/>
  <c r="JO451" i="121"/>
  <c r="KE451" i="121"/>
  <c r="KU451" i="121"/>
  <c r="LI451" i="121"/>
  <c r="LQ451" i="121"/>
  <c r="LY451" i="121"/>
  <c r="MI451" i="121"/>
  <c r="J412" i="121"/>
  <c r="I219" i="121"/>
  <c r="A229" i="121"/>
  <c r="J237" i="121"/>
  <c r="P151" i="121"/>
  <c r="G237" i="121"/>
  <c r="M237" i="121"/>
  <c r="M299" i="121"/>
  <c r="A212" i="121"/>
  <c r="F235"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L1237" i="121"/>
  <c r="D716" i="121"/>
  <c r="D723" i="121"/>
  <c r="D721" i="121"/>
  <c r="D715" i="121"/>
  <c r="E714" i="121"/>
  <c r="C716" i="121"/>
  <c r="IA487" i="121" l="1"/>
  <c r="ML487" i="121"/>
  <c r="EF487" i="121"/>
  <c r="M504" i="121" s="1"/>
  <c r="GE487" i="121"/>
  <c r="N609" i="121" s="1"/>
  <c r="DI487" i="121"/>
  <c r="O546" i="121" s="1"/>
  <c r="GD487" i="121"/>
  <c r="M609" i="121" s="1"/>
  <c r="AW487" i="121"/>
  <c r="K499" i="121" s="1"/>
  <c r="MM487" i="121"/>
  <c r="EH487" i="121"/>
  <c r="O504" i="121" s="1"/>
  <c r="GB487" i="121"/>
  <c r="K609" i="121" s="1"/>
  <c r="MN487" i="121"/>
  <c r="BI487" i="121"/>
  <c r="M502" i="121" s="1"/>
  <c r="EO487" i="121"/>
  <c r="L600" i="121" s="1"/>
  <c r="GF487" i="121"/>
  <c r="O609" i="121" s="1"/>
  <c r="ED487" i="121"/>
  <c r="K504" i="121" s="1"/>
  <c r="IX487" i="121"/>
  <c r="O585" i="121" s="1"/>
  <c r="MO487" i="121"/>
  <c r="MK487" i="121"/>
  <c r="EE487" i="121"/>
  <c r="L504" i="121" s="1"/>
  <c r="GC487" i="121"/>
  <c r="L609" i="121" s="1"/>
  <c r="EG487" i="121"/>
  <c r="N504" i="121" s="1"/>
  <c r="JI487" i="121"/>
  <c r="K580" i="121" s="1"/>
  <c r="K591" i="121" s="1"/>
  <c r="FX487" i="121"/>
  <c r="MH487" i="121"/>
  <c r="ES487" i="121"/>
  <c r="K601" i="121" s="1"/>
  <c r="LY487" i="121"/>
  <c r="LX487" i="121"/>
  <c r="FY487" i="121"/>
  <c r="KO487" i="121"/>
  <c r="M574" i="121" s="1"/>
  <c r="CC487" i="121"/>
  <c r="M534" i="121" s="1"/>
  <c r="BX487" i="121"/>
  <c r="M535" i="121" s="1"/>
  <c r="LP487" i="121"/>
  <c r="ET487" i="121"/>
  <c r="L601" i="121" s="1"/>
  <c r="HM487" i="121"/>
  <c r="M557" i="121" s="1"/>
  <c r="HI487" i="121"/>
  <c r="FT487" i="121"/>
  <c r="M607" i="121" s="1"/>
  <c r="IE487" i="121"/>
  <c r="K578" i="121" s="1"/>
  <c r="ID487" i="121"/>
  <c r="IC487" i="121"/>
  <c r="JM487" i="121"/>
  <c r="O580" i="121" s="1"/>
  <c r="O591" i="121" s="1"/>
  <c r="IV487" i="121"/>
  <c r="M585" i="121" s="1"/>
  <c r="FD487" i="121"/>
  <c r="L603" i="121" s="1"/>
  <c r="DT487" i="121"/>
  <c r="K543" i="121" s="1"/>
  <c r="CN487" i="121"/>
  <c r="N532" i="121" s="1"/>
  <c r="BH487" i="121"/>
  <c r="L502" i="121" s="1"/>
  <c r="AB487" i="121"/>
  <c r="O494" i="121" s="1"/>
  <c r="BJ487" i="121"/>
  <c r="N502" i="121" s="1"/>
  <c r="LE487" i="121"/>
  <c r="N577" i="121" s="1"/>
  <c r="IS487" i="121"/>
  <c r="O584" i="121" s="1"/>
  <c r="GX487" i="121"/>
  <c r="M554" i="121" s="1"/>
  <c r="MF487" i="121"/>
  <c r="HF487" i="121"/>
  <c r="JR487" i="121"/>
  <c r="O581" i="121" s="1"/>
  <c r="O592" i="121" s="1"/>
  <c r="G153" i="121"/>
  <c r="E148"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K595"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P682" i="121" l="1"/>
  <c r="Q682" i="121"/>
  <c r="P504" i="121"/>
  <c r="P609" i="121"/>
  <c r="M594" i="121"/>
  <c r="P543" i="121"/>
  <c r="L590" i="121"/>
  <c r="O593" i="121"/>
  <c r="K594" i="121"/>
  <c r="L595" i="121"/>
  <c r="L594" i="121"/>
  <c r="P571" i="121"/>
  <c r="O595" i="121"/>
  <c r="N596" i="121"/>
  <c r="M596" i="121"/>
  <c r="Q681" i="121"/>
  <c r="L589" i="121"/>
  <c r="O596" i="121"/>
  <c r="P577" i="121"/>
  <c r="P576" i="121"/>
  <c r="N590" i="121"/>
  <c r="N563" i="121"/>
  <c r="M590" i="121"/>
  <c r="P579" i="121"/>
  <c r="P592" i="121"/>
  <c r="K589" i="121"/>
  <c r="P585" i="121"/>
  <c r="M556" i="121"/>
  <c r="P558" i="121"/>
  <c r="O563" i="121"/>
  <c r="P535" i="121"/>
  <c r="L593" i="121"/>
  <c r="P683" i="121"/>
  <c r="P574" i="121"/>
  <c r="M563" i="121"/>
  <c r="N589" i="121"/>
  <c r="P578" i="121"/>
  <c r="K590" i="121"/>
  <c r="P681" i="121"/>
  <c r="N569" i="121"/>
  <c r="P575" i="121"/>
  <c r="O553" i="121"/>
  <c r="O590" i="121"/>
  <c r="Q683" i="121"/>
  <c r="P572" i="121"/>
  <c r="N594" i="121"/>
  <c r="L563" i="121"/>
  <c r="P581" i="121"/>
  <c r="O569" i="121"/>
  <c r="O556" i="121"/>
  <c r="E151" i="121"/>
  <c r="G147" i="121" s="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O523" i="121"/>
  <c r="P569" i="121"/>
  <c r="P593" i="121"/>
  <c r="P589" i="121"/>
  <c r="P594" i="121"/>
  <c r="P590" i="121"/>
  <c r="O514" i="121"/>
  <c r="P563" i="121"/>
  <c r="P684" i="121" s="1"/>
  <c r="P503" i="121"/>
  <c r="L511" i="121"/>
  <c r="L517" i="121"/>
  <c r="K505" i="121"/>
  <c r="K523" i="121" s="1"/>
  <c r="O511"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K511" i="121"/>
  <c r="K520" i="121"/>
  <c r="K514" i="121"/>
  <c r="P505" i="121"/>
  <c r="K679" i="121" s="1"/>
  <c r="K517" i="121"/>
  <c r="K508" i="121"/>
  <c r="K526" i="121"/>
  <c r="G720" i="121"/>
  <c r="G725" i="121" s="1"/>
  <c r="G733" i="121" s="1"/>
  <c r="G717" i="121"/>
  <c r="H716" i="121"/>
  <c r="H723" i="121"/>
  <c r="H721" i="121"/>
  <c r="H715" i="121"/>
  <c r="I714" i="121"/>
  <c r="Q677" i="121" l="1"/>
  <c r="K678" i="121"/>
  <c r="P526" i="121"/>
  <c r="P527" i="121" s="1"/>
  <c r="P528" i="121" s="1"/>
  <c r="P517" i="121"/>
  <c r="K518" i="121" s="1"/>
  <c r="K519" i="121" s="1"/>
  <c r="P520" i="121"/>
  <c r="L521" i="121" s="1"/>
  <c r="L522" i="121" s="1"/>
  <c r="J487" i="121"/>
  <c r="K681" i="121"/>
  <c r="J488" i="121"/>
  <c r="P523" i="121"/>
  <c r="N524" i="121" s="1"/>
  <c r="N525" i="121" s="1"/>
  <c r="K677" i="121"/>
  <c r="P508" i="121"/>
  <c r="K509" i="121" s="1"/>
  <c r="K510" i="121" s="1"/>
  <c r="P511" i="121"/>
  <c r="K512" i="121" s="1"/>
  <c r="K513" i="121" s="1"/>
  <c r="K680" i="121"/>
  <c r="P514" i="121"/>
  <c r="L515" i="121" s="1"/>
  <c r="L516" i="121" s="1"/>
  <c r="K682" i="121"/>
  <c r="H720" i="121"/>
  <c r="H725" i="121" s="1"/>
  <c r="H733" i="121" s="1"/>
  <c r="H717" i="121"/>
  <c r="I723" i="121"/>
  <c r="I721" i="121"/>
  <c r="I715" i="121"/>
  <c r="J714" i="121"/>
  <c r="I716" i="121"/>
  <c r="N512" i="121"/>
  <c r="N513" i="121" s="1"/>
  <c r="K527" i="121"/>
  <c r="K528" i="121" s="1"/>
  <c r="P512" i="121" l="1"/>
  <c r="P513" i="121" s="1"/>
  <c r="N509" i="121"/>
  <c r="N510" i="121" s="1"/>
  <c r="P509" i="121"/>
  <c r="P510" i="121" s="1"/>
  <c r="O509" i="121"/>
  <c r="O510" i="121" s="1"/>
  <c r="M509" i="121"/>
  <c r="M510" i="121" s="1"/>
  <c r="N518" i="121"/>
  <c r="N519" i="121" s="1"/>
  <c r="N521" i="121"/>
  <c r="N522" i="121" s="1"/>
  <c r="O521" i="121"/>
  <c r="O522" i="121" s="1"/>
  <c r="P521" i="121"/>
  <c r="P522" i="121" s="1"/>
  <c r="L509" i="121"/>
  <c r="L510" i="121" s="1"/>
  <c r="L527" i="121"/>
  <c r="L528" i="121" s="1"/>
  <c r="O518" i="121"/>
  <c r="O519" i="121" s="1"/>
  <c r="M527" i="121"/>
  <c r="M528" i="121" s="1"/>
  <c r="L518" i="121"/>
  <c r="L519" i="121" s="1"/>
  <c r="N515" i="121"/>
  <c r="N516" i="121" s="1"/>
  <c r="N527" i="121"/>
  <c r="N528" i="121" s="1"/>
  <c r="M518" i="121"/>
  <c r="M519" i="121" s="1"/>
  <c r="P518" i="121"/>
  <c r="P519" i="121" s="1"/>
  <c r="O527" i="121"/>
  <c r="O528" i="121" s="1"/>
  <c r="M521" i="121"/>
  <c r="M522" i="121" s="1"/>
  <c r="K521" i="121"/>
  <c r="K522" i="121" s="1"/>
  <c r="M524" i="121"/>
  <c r="M525" i="121" s="1"/>
  <c r="L524" i="121"/>
  <c r="L525" i="121" s="1"/>
  <c r="K524" i="121"/>
  <c r="K525" i="121" s="1"/>
  <c r="P524" i="121"/>
  <c r="P525" i="121" s="1"/>
  <c r="O524" i="121"/>
  <c r="O525" i="121" s="1"/>
  <c r="O512" i="121"/>
  <c r="O513" i="121" s="1"/>
  <c r="K515" i="121"/>
  <c r="K516" i="121" s="1"/>
  <c r="O515" i="121"/>
  <c r="O516" i="121" s="1"/>
  <c r="M515" i="121"/>
  <c r="M516" i="121" s="1"/>
  <c r="P515" i="121"/>
  <c r="P516" i="121" s="1"/>
  <c r="M512" i="121"/>
  <c r="M513" i="121" s="1"/>
  <c r="L512" i="121"/>
  <c r="L513"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D46" i="95"/>
  <c r="C46" i="95"/>
  <c r="B46" i="95"/>
  <c r="A46" i="95"/>
  <c r="D45" i="95"/>
  <c r="C45" i="95"/>
  <c r="B45" i="95"/>
  <c r="A45" i="95"/>
  <c r="D44" i="95"/>
  <c r="C44" i="95"/>
  <c r="B44" i="95"/>
  <c r="A44" i="95"/>
  <c r="D43" i="95"/>
  <c r="C43" i="95"/>
  <c r="B43" i="95"/>
  <c r="A43" i="95"/>
  <c r="D42" i="95"/>
  <c r="C42" i="95"/>
  <c r="B42" i="95"/>
  <c r="A42" i="95"/>
  <c r="D41" i="95"/>
  <c r="C41" i="95"/>
  <c r="B41" i="95"/>
  <c r="A41" i="95"/>
  <c r="D40" i="95"/>
  <c r="C40" i="95"/>
  <c r="B40" i="95"/>
  <c r="A40"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J21" i="110" s="1"/>
  <c r="L22" i="120"/>
  <c r="J24" i="110" s="1"/>
  <c r="H24" i="110" s="1"/>
  <c r="H462" i="121" s="1"/>
  <c r="A462" i="121" s="1"/>
  <c r="K22" i="120"/>
  <c r="J19" i="110" s="1"/>
  <c r="H19" i="110" s="1"/>
  <c r="H457" i="121" s="1"/>
  <c r="A457" i="121" s="1"/>
  <c r="J22" i="120"/>
  <c r="J22"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Q56" i="112"/>
  <c r="L56" i="112"/>
  <c r="P46" i="112"/>
  <c r="O46" i="112"/>
  <c r="P44" i="112"/>
  <c r="O44" i="112"/>
  <c r="P25" i="112"/>
  <c r="O25" i="112"/>
  <c r="O1182" i="121" s="1"/>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A67" i="111"/>
  <c r="A98" i="111" s="1"/>
  <c r="A128" i="111" s="1"/>
  <c r="B3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L25" i="112" l="1"/>
  <c r="Q25" i="112"/>
  <c r="L1182" i="121"/>
  <c r="Q1182" i="121"/>
  <c r="C28" i="111"/>
  <c r="C36" i="111" s="1"/>
  <c r="K28" i="111"/>
  <c r="K36" i="111" s="1"/>
  <c r="I29" i="111"/>
  <c r="I37" i="111" s="1"/>
  <c r="F60" i="111"/>
  <c r="F68" i="111" s="1"/>
  <c r="D61" i="111"/>
  <c r="D69" i="111" s="1"/>
  <c r="H92" i="111"/>
  <c r="H99" i="111" s="1"/>
  <c r="F93" i="111"/>
  <c r="F100" i="111" s="1"/>
  <c r="F122" i="111"/>
  <c r="F129" i="111" s="1"/>
  <c r="D28" i="111"/>
  <c r="B29" i="111"/>
  <c r="J29" i="111"/>
  <c r="J37" i="111" s="1"/>
  <c r="G60" i="111"/>
  <c r="G68" i="111" s="1"/>
  <c r="E61" i="111"/>
  <c r="E69" i="111" s="1"/>
  <c r="I92" i="111"/>
  <c r="I99" i="111" s="1"/>
  <c r="G93" i="111"/>
  <c r="G100" i="111" s="1"/>
  <c r="B123" i="111"/>
  <c r="E28" i="111"/>
  <c r="E36" i="111" s="1"/>
  <c r="C29" i="111"/>
  <c r="C37" i="111" s="1"/>
  <c r="K29" i="111"/>
  <c r="H60" i="111"/>
  <c r="F61" i="111"/>
  <c r="F69" i="111" s="1"/>
  <c r="B92" i="111"/>
  <c r="J92" i="111"/>
  <c r="H93" i="111"/>
  <c r="C123" i="111"/>
  <c r="C130" i="111" s="1"/>
  <c r="F28" i="111"/>
  <c r="F36" i="111" s="1"/>
  <c r="D29" i="111"/>
  <c r="D37" i="111" s="1"/>
  <c r="I60" i="111"/>
  <c r="G61" i="111"/>
  <c r="C92" i="111"/>
  <c r="C99" i="111" s="1"/>
  <c r="K92" i="111"/>
  <c r="K99" i="111" s="1"/>
  <c r="I93" i="111"/>
  <c r="I100" i="111" s="1"/>
  <c r="D123" i="111"/>
  <c r="D130" i="111" s="1"/>
  <c r="G28" i="111"/>
  <c r="G36" i="111" s="1"/>
  <c r="E29" i="111"/>
  <c r="E37" i="111" s="1"/>
  <c r="B60" i="111"/>
  <c r="B68" i="111" s="1"/>
  <c r="J60" i="111"/>
  <c r="J68" i="111" s="1"/>
  <c r="H61" i="111"/>
  <c r="H69" i="111" s="1"/>
  <c r="D92" i="111"/>
  <c r="D99" i="111" s="1"/>
  <c r="B93" i="111"/>
  <c r="J93" i="111"/>
  <c r="J100" i="111" s="1"/>
  <c r="B122" i="111"/>
  <c r="B129" i="111" s="1"/>
  <c r="E123" i="111"/>
  <c r="E130" i="111" s="1"/>
  <c r="H28" i="111"/>
  <c r="H36" i="111" s="1"/>
  <c r="F29" i="111"/>
  <c r="C60" i="111"/>
  <c r="C68" i="111" s="1"/>
  <c r="K60" i="111"/>
  <c r="K68" i="111" s="1"/>
  <c r="I61" i="111"/>
  <c r="I69" i="111" s="1"/>
  <c r="E92" i="111"/>
  <c r="E99" i="111" s="1"/>
  <c r="C93" i="111"/>
  <c r="C100" i="111" s="1"/>
  <c r="K93" i="111"/>
  <c r="K100" i="111" s="1"/>
  <c r="C122" i="111"/>
  <c r="C129" i="111" s="1"/>
  <c r="F123" i="111"/>
  <c r="F130" i="111" s="1"/>
  <c r="I28" i="111"/>
  <c r="I36" i="111" s="1"/>
  <c r="G29" i="111"/>
  <c r="G37" i="111" s="1"/>
  <c r="D60" i="111"/>
  <c r="D68" i="111" s="1"/>
  <c r="B61" i="111"/>
  <c r="J61" i="111"/>
  <c r="J69" i="111" s="1"/>
  <c r="F92" i="111"/>
  <c r="F99" i="111" s="1"/>
  <c r="D93" i="111"/>
  <c r="D100" i="111" s="1"/>
  <c r="D122" i="111"/>
  <c r="D129" i="111" s="1"/>
  <c r="B28" i="111"/>
  <c r="B36" i="111" s="1"/>
  <c r="J28" i="111"/>
  <c r="J36" i="111" s="1"/>
  <c r="H29" i="111"/>
  <c r="H37" i="111" s="1"/>
  <c r="E60" i="111"/>
  <c r="C61" i="111"/>
  <c r="K61" i="111"/>
  <c r="G92" i="111"/>
  <c r="G99" i="111" s="1"/>
  <c r="E93" i="111"/>
  <c r="E100" i="111" s="1"/>
  <c r="E122" i="111"/>
  <c r="E129" i="111" s="1"/>
  <c r="K36" i="87"/>
  <c r="H793" i="121"/>
  <c r="H800" i="121" s="1"/>
  <c r="H11" i="87"/>
  <c r="C728" i="121"/>
  <c r="C736" i="121" s="1"/>
  <c r="H19" i="87"/>
  <c r="K728" i="121"/>
  <c r="K736" i="121" s="1"/>
  <c r="K17" i="87"/>
  <c r="I729" i="121"/>
  <c r="I737" i="121" s="1"/>
  <c r="C12" i="86"/>
  <c r="D12" i="86"/>
  <c r="B742" i="121"/>
  <c r="E32" i="86"/>
  <c r="J742" i="121"/>
  <c r="H24" i="87"/>
  <c r="F760" i="121"/>
  <c r="F768" i="121" s="1"/>
  <c r="K22" i="87"/>
  <c r="D761" i="121"/>
  <c r="D769" i="121" s="1"/>
  <c r="F52" i="86"/>
  <c r="H774" i="121"/>
  <c r="H36" i="87"/>
  <c r="H792" i="121"/>
  <c r="H799" i="121" s="1"/>
  <c r="K34" i="87"/>
  <c r="F793" i="121"/>
  <c r="F800" i="121" s="1"/>
  <c r="H44" i="87"/>
  <c r="F822" i="121"/>
  <c r="F829" i="121" s="1"/>
  <c r="K19" i="87"/>
  <c r="K729" i="121"/>
  <c r="K737" i="121" s="1"/>
  <c r="H52" i="86"/>
  <c r="J774" i="121"/>
  <c r="K41" i="87"/>
  <c r="C823" i="121"/>
  <c r="C830" i="121" s="1"/>
  <c r="D36" i="111"/>
  <c r="H12" i="87"/>
  <c r="D728" i="121"/>
  <c r="D736" i="121" s="1"/>
  <c r="B37" i="111"/>
  <c r="K10" i="87"/>
  <c r="K18" i="87"/>
  <c r="J729" i="121"/>
  <c r="J737" i="121" s="1"/>
  <c r="E12" i="86"/>
  <c r="C742" i="121"/>
  <c r="F32" i="86"/>
  <c r="K742" i="121"/>
  <c r="H25" i="87"/>
  <c r="G760" i="121"/>
  <c r="G768" i="121" s="1"/>
  <c r="K23" i="87"/>
  <c r="E761" i="121"/>
  <c r="E769" i="121" s="1"/>
  <c r="G52" i="86"/>
  <c r="I774" i="121"/>
  <c r="H37" i="87"/>
  <c r="I792" i="121"/>
  <c r="I799" i="121" s="1"/>
  <c r="K35" i="87"/>
  <c r="G793" i="121"/>
  <c r="G800" i="121" s="1"/>
  <c r="K37" i="111"/>
  <c r="H14" i="87"/>
  <c r="F728" i="121"/>
  <c r="F736" i="121" s="1"/>
  <c r="K12" i="87"/>
  <c r="D729" i="121"/>
  <c r="D737" i="121" s="1"/>
  <c r="G12" i="86"/>
  <c r="E742" i="121"/>
  <c r="I68" i="111"/>
  <c r="H27" i="87"/>
  <c r="I760" i="121"/>
  <c r="I768" i="121" s="1"/>
  <c r="G69" i="111"/>
  <c r="K25" i="87"/>
  <c r="G761" i="121"/>
  <c r="G769" i="121" s="1"/>
  <c r="H32" i="86"/>
  <c r="C774" i="121"/>
  <c r="H31" i="87"/>
  <c r="C792" i="121"/>
  <c r="C799" i="121" s="1"/>
  <c r="H39" i="87"/>
  <c r="K792" i="121"/>
  <c r="K799" i="121" s="1"/>
  <c r="K37" i="87"/>
  <c r="I793" i="121"/>
  <c r="I800" i="121" s="1"/>
  <c r="K42" i="87"/>
  <c r="D823" i="121"/>
  <c r="D830" i="121" s="1"/>
  <c r="H13" i="87"/>
  <c r="E728" i="121"/>
  <c r="E736" i="121" s="1"/>
  <c r="K11" i="87"/>
  <c r="C729" i="121"/>
  <c r="C737" i="121" s="1"/>
  <c r="F12" i="86"/>
  <c r="D742" i="121"/>
  <c r="H26" i="87"/>
  <c r="H760" i="121"/>
  <c r="H768" i="121" s="1"/>
  <c r="H38" i="87"/>
  <c r="J792" i="121"/>
  <c r="J799" i="121" s="1"/>
  <c r="H68" i="111"/>
  <c r="H15" i="87"/>
  <c r="G728" i="121"/>
  <c r="G736" i="121" s="1"/>
  <c r="K13" i="87"/>
  <c r="E729" i="121"/>
  <c r="E737" i="121" s="1"/>
  <c r="H12" i="86"/>
  <c r="F742" i="121"/>
  <c r="H20" i="87"/>
  <c r="B760" i="121"/>
  <c r="B768" i="121" s="1"/>
  <c r="H28" i="87"/>
  <c r="J760" i="121"/>
  <c r="J768" i="121" s="1"/>
  <c r="K26" i="87"/>
  <c r="H761" i="121"/>
  <c r="H769" i="121" s="1"/>
  <c r="I32" i="86"/>
  <c r="D774" i="121"/>
  <c r="H32" i="87"/>
  <c r="D792" i="121"/>
  <c r="D799" i="121" s="1"/>
  <c r="K38" i="87"/>
  <c r="J793" i="121"/>
  <c r="J800" i="121" s="1"/>
  <c r="H40" i="87"/>
  <c r="B822" i="121"/>
  <c r="B829" i="121" s="1"/>
  <c r="K43" i="87"/>
  <c r="E823" i="121"/>
  <c r="E830" i="121" s="1"/>
  <c r="H16" i="87"/>
  <c r="H728" i="121"/>
  <c r="H736" i="121" s="1"/>
  <c r="F37" i="111"/>
  <c r="K14" i="87"/>
  <c r="F729" i="121"/>
  <c r="F737" i="121" s="1"/>
  <c r="I12" i="86"/>
  <c r="G742" i="121"/>
  <c r="H21" i="87"/>
  <c r="C760" i="121"/>
  <c r="C768" i="121" s="1"/>
  <c r="H29" i="87"/>
  <c r="K760" i="121"/>
  <c r="K768" i="121" s="1"/>
  <c r="K27" i="87"/>
  <c r="I761" i="121"/>
  <c r="I769" i="121" s="1"/>
  <c r="C52" i="86"/>
  <c r="E774" i="121"/>
  <c r="H33" i="87"/>
  <c r="E792" i="121"/>
  <c r="E799" i="121" s="1"/>
  <c r="K31" i="87"/>
  <c r="C793" i="121"/>
  <c r="C800" i="121" s="1"/>
  <c r="K39" i="87"/>
  <c r="K793" i="121"/>
  <c r="K800" i="121" s="1"/>
  <c r="H41" i="87"/>
  <c r="C822" i="121"/>
  <c r="C829" i="121" s="1"/>
  <c r="K44" i="87"/>
  <c r="F823" i="121"/>
  <c r="F830" i="121" s="1"/>
  <c r="K24" i="87"/>
  <c r="F761" i="121"/>
  <c r="F769" i="121" s="1"/>
  <c r="J99" i="111"/>
  <c r="H100" i="111"/>
  <c r="H17" i="87"/>
  <c r="I728" i="121"/>
  <c r="I736" i="121" s="1"/>
  <c r="K15" i="87"/>
  <c r="G729" i="121"/>
  <c r="G737" i="121" s="1"/>
  <c r="C32" i="86"/>
  <c r="H742" i="121"/>
  <c r="H22" i="87"/>
  <c r="D760" i="121"/>
  <c r="D768" i="121" s="1"/>
  <c r="K28" i="87"/>
  <c r="J761" i="121"/>
  <c r="J769" i="121" s="1"/>
  <c r="D52" i="86"/>
  <c r="F774" i="121"/>
  <c r="H34" i="87"/>
  <c r="F792" i="121"/>
  <c r="F799" i="121" s="1"/>
  <c r="K32" i="87"/>
  <c r="D793" i="121"/>
  <c r="D800" i="121" s="1"/>
  <c r="H42" i="87"/>
  <c r="D822" i="121"/>
  <c r="D829" i="121" s="1"/>
  <c r="G32" i="86"/>
  <c r="B774" i="121"/>
  <c r="B99" i="111"/>
  <c r="H30" i="87"/>
  <c r="B792" i="121"/>
  <c r="B799" i="121" s="1"/>
  <c r="H10" i="87"/>
  <c r="B728" i="121"/>
  <c r="B736" i="121" s="1"/>
  <c r="H18" i="87"/>
  <c r="J728" i="121"/>
  <c r="J736" i="121" s="1"/>
  <c r="K16" i="87"/>
  <c r="H729" i="121"/>
  <c r="H737" i="121" s="1"/>
  <c r="D32" i="86"/>
  <c r="I742" i="121"/>
  <c r="E68" i="111"/>
  <c r="H23" i="87"/>
  <c r="E760" i="121"/>
  <c r="E768" i="121" s="1"/>
  <c r="C69" i="111"/>
  <c r="K21" i="87"/>
  <c r="C761" i="121"/>
  <c r="C769" i="121" s="1"/>
  <c r="K69" i="111"/>
  <c r="K29" i="87"/>
  <c r="K761" i="121"/>
  <c r="K769" i="121" s="1"/>
  <c r="E52" i="86"/>
  <c r="G774" i="121"/>
  <c r="H35" i="87"/>
  <c r="G792" i="121"/>
  <c r="G799" i="121" s="1"/>
  <c r="K33" i="87"/>
  <c r="E793" i="121"/>
  <c r="E800" i="121" s="1"/>
  <c r="H43" i="87"/>
  <c r="E822" i="121"/>
  <c r="E829" i="121" s="1"/>
  <c r="Q46" i="112"/>
  <c r="O1203" i="121"/>
  <c r="Q1203" i="121" s="1"/>
  <c r="AZ443" i="112"/>
  <c r="P1488" i="121"/>
  <c r="BC430" i="112"/>
  <c r="P1298" i="121"/>
  <c r="O121" i="112"/>
  <c r="O1278" i="121" s="1"/>
  <c r="O117" i="112"/>
  <c r="O1274" i="121" s="1"/>
  <c r="O37" i="112"/>
  <c r="O1194" i="121" s="1"/>
  <c r="O1201" i="121"/>
  <c r="BB446" i="112"/>
  <c r="P1517" i="121"/>
  <c r="K378" i="112"/>
  <c r="P1326" i="121"/>
  <c r="K1527" i="121" s="1"/>
  <c r="AV432" i="112"/>
  <c r="O1317" i="121"/>
  <c r="K384" i="112"/>
  <c r="O1533" i="121"/>
  <c r="K1533" i="121" s="1"/>
  <c r="AZ437" i="112"/>
  <c r="P1414" i="121"/>
  <c r="J459" i="121"/>
  <c r="H21" i="110"/>
  <c r="E40" i="95"/>
  <c r="E45" i="95"/>
  <c r="L42" i="110"/>
  <c r="M42" i="110" s="1"/>
  <c r="A19" i="110"/>
  <c r="J460" i="121"/>
  <c r="H22" i="110"/>
  <c r="B53" i="82"/>
  <c r="B731" i="121"/>
  <c r="L26" i="110"/>
  <c r="M26" i="110" s="1"/>
  <c r="J18" i="110"/>
  <c r="J20" i="110"/>
  <c r="J23" i="110"/>
  <c r="H23" i="110" s="1"/>
  <c r="L23" i="110" s="1"/>
  <c r="M23" i="110" s="1"/>
  <c r="J25" i="110"/>
  <c r="J462" i="121"/>
  <c r="L462" i="121" s="1"/>
  <c r="M462" i="121" s="1"/>
  <c r="L24" i="110"/>
  <c r="M24" i="110" s="1"/>
  <c r="L44" i="110"/>
  <c r="M44" i="110" s="1"/>
  <c r="L28" i="110"/>
  <c r="M28" i="110" s="1"/>
  <c r="L36" i="110"/>
  <c r="M36" i="110" s="1"/>
  <c r="K144" i="112"/>
  <c r="L21" i="110"/>
  <c r="M21" i="110" s="1"/>
  <c r="L38" i="110"/>
  <c r="M38" i="110" s="1"/>
  <c r="L37" i="110"/>
  <c r="M37" i="110" s="1"/>
  <c r="L29" i="110"/>
  <c r="M29" i="110" s="1"/>
  <c r="L30" i="110"/>
  <c r="M30" i="110" s="1"/>
  <c r="L40" i="110"/>
  <c r="M40" i="110" s="1"/>
  <c r="L34" i="110"/>
  <c r="M34" i="110" s="1"/>
  <c r="L48" i="110"/>
  <c r="M48" i="110" s="1"/>
  <c r="L32" i="110"/>
  <c r="M32" i="110" s="1"/>
  <c r="L45" i="110"/>
  <c r="M45" i="110" s="1"/>
  <c r="L46" i="110"/>
  <c r="M46" i="110" s="1"/>
  <c r="J484" i="121"/>
  <c r="L484" i="121" s="1"/>
  <c r="M484" i="121" s="1"/>
  <c r="L31" i="110"/>
  <c r="M31" i="110" s="1"/>
  <c r="J469" i="121"/>
  <c r="L469" i="121" s="1"/>
  <c r="M469" i="121" s="1"/>
  <c r="L39" i="110"/>
  <c r="M39" i="110" s="1"/>
  <c r="J477" i="121"/>
  <c r="L477" i="121" s="1"/>
  <c r="M477" i="121" s="1"/>
  <c r="L47" i="110"/>
  <c r="M47" i="110" s="1"/>
  <c r="J485" i="121"/>
  <c r="L485" i="121" s="1"/>
  <c r="M485" i="121" s="1"/>
  <c r="L41" i="110"/>
  <c r="M41" i="110" s="1"/>
  <c r="L33" i="110"/>
  <c r="M33"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F126" i="107"/>
  <c r="F122" i="107"/>
  <c r="M146" i="107"/>
  <c r="M162" i="107" s="1"/>
  <c r="M164" i="107" s="1"/>
  <c r="M166" i="107" s="1"/>
  <c r="M67" i="85"/>
  <c r="P146" i="107"/>
  <c r="P162" i="107" s="1"/>
  <c r="P164" i="107" s="1"/>
  <c r="P166" i="107" s="1"/>
  <c r="D45" i="106"/>
  <c r="D88" i="121" s="1"/>
  <c r="E108" i="107"/>
  <c r="J108" i="107" s="1"/>
  <c r="L51" i="106"/>
  <c r="V146" i="107"/>
  <c r="L52" i="106"/>
  <c r="N52" i="106" s="1"/>
  <c r="C135" i="90"/>
  <c r="C21" i="86"/>
  <c r="D21" i="86" s="1"/>
  <c r="E21" i="86" s="1"/>
  <c r="F21" i="86" s="1"/>
  <c r="G21" i="86" s="1"/>
  <c r="H21" i="86" s="1"/>
  <c r="I21" i="86" s="1"/>
  <c r="L94" i="121"/>
  <c r="N94" i="121" s="1"/>
  <c r="L95" i="121"/>
  <c r="N95" i="121" s="1"/>
  <c r="I9" i="121"/>
  <c r="F38" i="107"/>
  <c r="J146" i="107"/>
  <c r="J162" i="107" s="1"/>
  <c r="J164" i="107" s="1"/>
  <c r="J166" i="107" s="1"/>
  <c r="E40" i="107"/>
  <c r="F39" i="107"/>
  <c r="G43" i="107"/>
  <c r="E38" i="107"/>
  <c r="S146" i="107"/>
  <c r="G146" i="107"/>
  <c r="E64" i="111"/>
  <c r="E764" i="121" s="1"/>
  <c r="F64" i="111"/>
  <c r="B64" i="111"/>
  <c r="C64" i="111"/>
  <c r="D64" i="111"/>
  <c r="E27" i="111"/>
  <c r="B59" i="111"/>
  <c r="C121" i="111"/>
  <c r="F27" i="111"/>
  <c r="F45" i="82" s="1"/>
  <c r="E11" i="86"/>
  <c r="C741" i="121"/>
  <c r="F31" i="86"/>
  <c r="K741" i="121"/>
  <c r="C59" i="111"/>
  <c r="K59" i="111"/>
  <c r="F51" i="86"/>
  <c r="H773" i="121"/>
  <c r="H91" i="111"/>
  <c r="H98" i="111" s="1"/>
  <c r="D121" i="111"/>
  <c r="G27" i="111"/>
  <c r="F11" i="86"/>
  <c r="D741" i="121"/>
  <c r="D59" i="111"/>
  <c r="G51" i="86"/>
  <c r="I773" i="121"/>
  <c r="I91" i="111"/>
  <c r="E121" i="111"/>
  <c r="E51" i="86"/>
  <c r="G773" i="121"/>
  <c r="H27" i="111"/>
  <c r="G11" i="86"/>
  <c r="E741" i="121"/>
  <c r="E59" i="111"/>
  <c r="G31" i="86"/>
  <c r="B773" i="121"/>
  <c r="H51" i="86"/>
  <c r="J773" i="121"/>
  <c r="B91" i="111"/>
  <c r="J91" i="111"/>
  <c r="F121" i="111"/>
  <c r="D11" i="86"/>
  <c r="C11" i="86"/>
  <c r="B741" i="121"/>
  <c r="J59" i="111"/>
  <c r="I27" i="111"/>
  <c r="H11" i="86"/>
  <c r="F741" i="121"/>
  <c r="F59" i="111"/>
  <c r="H31" i="86"/>
  <c r="C773" i="121"/>
  <c r="C91" i="111"/>
  <c r="K91" i="111"/>
  <c r="B27" i="111"/>
  <c r="J27" i="111"/>
  <c r="I11" i="86"/>
  <c r="G741" i="121"/>
  <c r="G59" i="111"/>
  <c r="I31" i="86"/>
  <c r="D773" i="121"/>
  <c r="D91" i="111"/>
  <c r="D98" i="111" s="1"/>
  <c r="C27" i="111"/>
  <c r="K27" i="111"/>
  <c r="C31" i="86"/>
  <c r="H741" i="121"/>
  <c r="H59" i="111"/>
  <c r="C51" i="86"/>
  <c r="E773" i="121"/>
  <c r="E91" i="111"/>
  <c r="E31" i="86"/>
  <c r="J741" i="121"/>
  <c r="G91" i="111"/>
  <c r="D27" i="111"/>
  <c r="D31" i="86"/>
  <c r="I741" i="121"/>
  <c r="I59" i="111"/>
  <c r="D51" i="86"/>
  <c r="F773" i="121"/>
  <c r="F91" i="111"/>
  <c r="B121" i="111"/>
  <c r="F26" i="111"/>
  <c r="H90" i="111"/>
  <c r="B36" i="87" s="1"/>
  <c r="G58" i="111"/>
  <c r="B25" i="87" s="1"/>
  <c r="G26" i="111"/>
  <c r="H58" i="111"/>
  <c r="I90" i="111"/>
  <c r="H26" i="111"/>
  <c r="I58" i="111"/>
  <c r="B90" i="111"/>
  <c r="J90" i="111"/>
  <c r="B120" i="111"/>
  <c r="B14" i="87"/>
  <c r="F726" i="121"/>
  <c r="I26" i="111"/>
  <c r="B58" i="111"/>
  <c r="J58" i="111"/>
  <c r="C90" i="111"/>
  <c r="K90" i="111"/>
  <c r="C120" i="111"/>
  <c r="J287" i="121"/>
  <c r="J288" i="121" s="1"/>
  <c r="J290" i="121" s="1"/>
  <c r="J293" i="121" s="1"/>
  <c r="B26" i="111"/>
  <c r="B32" i="111" s="1"/>
  <c r="J26" i="111"/>
  <c r="C58" i="111"/>
  <c r="K58" i="111"/>
  <c r="D90" i="111"/>
  <c r="D120" i="111"/>
  <c r="C26" i="111"/>
  <c r="K26" i="111"/>
  <c r="D58" i="111"/>
  <c r="E90" i="111"/>
  <c r="E120" i="111"/>
  <c r="D26" i="111"/>
  <c r="E58" i="111"/>
  <c r="F90" i="111"/>
  <c r="F120" i="111"/>
  <c r="E26" i="111"/>
  <c r="F58" i="111"/>
  <c r="G90" i="111"/>
  <c r="H15" i="100"/>
  <c r="C44" i="90"/>
  <c r="O29" i="105"/>
  <c r="E18" i="89"/>
  <c r="A307" i="121"/>
  <c r="J26" i="121"/>
  <c r="A45" i="121"/>
  <c r="A2" i="105"/>
  <c r="A1" i="121" s="1"/>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P10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7" i="112"/>
  <c r="AY431" i="112"/>
  <c r="AI458" i="112"/>
  <c r="J378" i="112"/>
  <c r="AV433" i="112"/>
  <c r="K383" i="112"/>
  <c r="AJ458" i="112"/>
  <c r="F14"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I34" i="86" l="1"/>
  <c r="K30" i="87"/>
  <c r="B100" i="111"/>
  <c r="K40" i="87"/>
  <c r="B130" i="111"/>
  <c r="K20" i="87"/>
  <c r="B69" i="111"/>
  <c r="F35" i="111"/>
  <c r="AV429" i="112"/>
  <c r="AY429" i="112"/>
  <c r="AW429" i="112"/>
  <c r="AX429" i="112"/>
  <c r="AZ442" i="112"/>
  <c r="P1480" i="121"/>
  <c r="J1400" i="121"/>
  <c r="J1459" i="121" s="1"/>
  <c r="O238" i="112"/>
  <c r="O1300" i="121"/>
  <c r="AX425" i="112"/>
  <c r="AY425" i="112"/>
  <c r="AV425" i="112"/>
  <c r="AW425" i="112"/>
  <c r="L1194" i="121"/>
  <c r="Q1201" i="121"/>
  <c r="O20" i="112"/>
  <c r="O1177" i="121" s="1"/>
  <c r="P310" i="112"/>
  <c r="P1364" i="121"/>
  <c r="J310" i="112"/>
  <c r="O1364" i="121"/>
  <c r="A123" i="110"/>
  <c r="O1488" i="121"/>
  <c r="R1488" i="121" s="1"/>
  <c r="A561" i="121"/>
  <c r="H460" i="121"/>
  <c r="A460" i="121" s="1"/>
  <c r="E43" i="95"/>
  <c r="A22" i="110"/>
  <c r="J456" i="121"/>
  <c r="H18" i="110"/>
  <c r="J461" i="121"/>
  <c r="J463" i="121"/>
  <c r="H25" i="110"/>
  <c r="L25" i="110" s="1"/>
  <c r="M25" i="110" s="1"/>
  <c r="L460" i="121"/>
  <c r="M460" i="121" s="1"/>
  <c r="J458" i="121"/>
  <c r="H20" i="110"/>
  <c r="H459" i="121"/>
  <c r="A459" i="121" s="1"/>
  <c r="A21" i="110"/>
  <c r="E42" i="95"/>
  <c r="H461" i="121"/>
  <c r="A461" i="121" s="1"/>
  <c r="E44" i="95"/>
  <c r="A23" i="110"/>
  <c r="L22" i="110"/>
  <c r="M22" i="110" s="1"/>
  <c r="C53" i="82"/>
  <c r="C731" i="121"/>
  <c r="L18" i="110"/>
  <c r="M18" i="110" s="1"/>
  <c r="M155" i="110"/>
  <c r="L152" i="110"/>
  <c r="K156" i="110"/>
  <c r="O156" i="110"/>
  <c r="O118" i="110"/>
  <c r="P167" i="110"/>
  <c r="O121" i="110"/>
  <c r="M115" i="110"/>
  <c r="P94" i="110"/>
  <c r="P56" i="110"/>
  <c r="J25" i="95" s="1"/>
  <c r="M121" i="110"/>
  <c r="K115" i="110"/>
  <c r="N118" i="110"/>
  <c r="P108" i="110"/>
  <c r="P162" i="110"/>
  <c r="N100" i="110"/>
  <c r="N121" i="110"/>
  <c r="O157" i="110"/>
  <c r="P114" i="110"/>
  <c r="M151" i="110"/>
  <c r="B14" i="82"/>
  <c r="N51" i="106"/>
  <c r="E41" i="107"/>
  <c r="E3" i="86"/>
  <c r="J176" i="107"/>
  <c r="J178" i="107" s="1"/>
  <c r="J180" i="107" s="1"/>
  <c r="B4" i="82"/>
  <c r="I104" i="121"/>
  <c r="L34" i="106"/>
  <c r="C18" i="100"/>
  <c r="I61" i="106"/>
  <c r="H34" i="86"/>
  <c r="D764" i="121"/>
  <c r="C54" i="86"/>
  <c r="F764" i="121"/>
  <c r="G34" i="86"/>
  <c r="C764" i="121"/>
  <c r="C14" i="86"/>
  <c r="B732" i="121"/>
  <c r="B44" i="111"/>
  <c r="B744" i="121" s="1"/>
  <c r="R21" i="111"/>
  <c r="F34" i="86"/>
  <c r="B764" i="121"/>
  <c r="G65" i="82"/>
  <c r="G758" i="121"/>
  <c r="G766" i="121" s="1"/>
  <c r="H790" i="121"/>
  <c r="H797" i="121" s="1"/>
  <c r="E32" i="87"/>
  <c r="D791" i="121"/>
  <c r="D798" i="121" s="1"/>
  <c r="E39" i="87"/>
  <c r="K791" i="121"/>
  <c r="K798" i="121" s="1"/>
  <c r="K98" i="111"/>
  <c r="E28" i="87"/>
  <c r="J759" i="121"/>
  <c r="J767" i="121" s="1"/>
  <c r="J67" i="111"/>
  <c r="E15" i="87"/>
  <c r="G727" i="121"/>
  <c r="G735" i="121" s="1"/>
  <c r="G35" i="111"/>
  <c r="E33" i="87"/>
  <c r="E791" i="121"/>
  <c r="E798" i="121" s="1"/>
  <c r="E98" i="111"/>
  <c r="E27" i="87"/>
  <c r="I759" i="121"/>
  <c r="I767" i="121" s="1"/>
  <c r="I67" i="111"/>
  <c r="E31" i="87"/>
  <c r="C791" i="121"/>
  <c r="C798" i="121" s="1"/>
  <c r="C98" i="111"/>
  <c r="E43" i="87"/>
  <c r="E821" i="121"/>
  <c r="E828" i="121" s="1"/>
  <c r="E128" i="111"/>
  <c r="E42" i="87"/>
  <c r="D821" i="121"/>
  <c r="D828" i="121" s="1"/>
  <c r="D128" i="111"/>
  <c r="E17" i="87"/>
  <c r="I727" i="121"/>
  <c r="I735" i="121" s="1"/>
  <c r="I35" i="111"/>
  <c r="E37" i="87"/>
  <c r="I791" i="121"/>
  <c r="I798" i="121" s="1"/>
  <c r="I98" i="111"/>
  <c r="E36" i="87"/>
  <c r="H791" i="121"/>
  <c r="H798" i="121" s="1"/>
  <c r="E26" i="87"/>
  <c r="H759" i="121"/>
  <c r="H767" i="121" s="1"/>
  <c r="H67" i="111"/>
  <c r="G67" i="111"/>
  <c r="E25" i="87"/>
  <c r="G759" i="121"/>
  <c r="G767" i="121" s="1"/>
  <c r="E23" i="87"/>
  <c r="E759" i="121"/>
  <c r="E767" i="121" s="1"/>
  <c r="E67" i="111"/>
  <c r="E14" i="87"/>
  <c r="F727" i="121"/>
  <c r="F735" i="121" s="1"/>
  <c r="B35" i="111"/>
  <c r="E10" i="87"/>
  <c r="B727" i="121"/>
  <c r="B735" i="121" s="1"/>
  <c r="E12" i="87"/>
  <c r="D727" i="121"/>
  <c r="D735" i="121" s="1"/>
  <c r="D35" i="111"/>
  <c r="E24" i="87"/>
  <c r="F759" i="121"/>
  <c r="F767" i="121" s="1"/>
  <c r="F67" i="111"/>
  <c r="E44" i="87"/>
  <c r="F821" i="121"/>
  <c r="F828" i="121" s="1"/>
  <c r="F128" i="111"/>
  <c r="E41" i="87"/>
  <c r="C821" i="121"/>
  <c r="C828" i="121" s="1"/>
  <c r="C128" i="111"/>
  <c r="E11" i="87"/>
  <c r="C727" i="121"/>
  <c r="C735" i="121" s="1"/>
  <c r="C35" i="111"/>
  <c r="E40" i="87"/>
  <c r="B821" i="121"/>
  <c r="B828" i="121" s="1"/>
  <c r="B128" i="111"/>
  <c r="E35" i="87"/>
  <c r="G791" i="121"/>
  <c r="G798" i="121" s="1"/>
  <c r="G98" i="111"/>
  <c r="E38" i="87"/>
  <c r="J791" i="121"/>
  <c r="J798" i="121" s="1"/>
  <c r="J98" i="111"/>
  <c r="E22" i="87"/>
  <c r="D759" i="121"/>
  <c r="D767" i="121" s="1"/>
  <c r="D67" i="111"/>
  <c r="K67" i="111"/>
  <c r="E29" i="87"/>
  <c r="K759" i="121"/>
  <c r="K767" i="121" s="1"/>
  <c r="E20" i="87"/>
  <c r="B759" i="121"/>
  <c r="B767" i="121" s="1"/>
  <c r="B67" i="111"/>
  <c r="E34" i="87"/>
  <c r="F791" i="121"/>
  <c r="F798" i="121" s="1"/>
  <c r="F98" i="111"/>
  <c r="E19" i="87"/>
  <c r="K727" i="121"/>
  <c r="K735" i="121" s="1"/>
  <c r="K35" i="111"/>
  <c r="E18" i="87"/>
  <c r="J727" i="121"/>
  <c r="J735" i="121" s="1"/>
  <c r="E30" i="87"/>
  <c r="B791" i="121"/>
  <c r="B798" i="121" s="1"/>
  <c r="B98" i="111"/>
  <c r="E16" i="87"/>
  <c r="H727" i="121"/>
  <c r="H735" i="121" s="1"/>
  <c r="H35" i="111"/>
  <c r="C67" i="111"/>
  <c r="E21" i="87"/>
  <c r="C759" i="121"/>
  <c r="C767" i="121" s="1"/>
  <c r="E13" i="87"/>
  <c r="E727" i="121"/>
  <c r="E735" i="121" s="1"/>
  <c r="E35" i="111"/>
  <c r="B32" i="87"/>
  <c r="D790" i="121"/>
  <c r="K65" i="82"/>
  <c r="B29" i="87"/>
  <c r="K758" i="121"/>
  <c r="H45" i="82"/>
  <c r="B16" i="87"/>
  <c r="H726" i="121"/>
  <c r="B44" i="87"/>
  <c r="F820" i="121"/>
  <c r="B22" i="87"/>
  <c r="D65" i="82"/>
  <c r="D758" i="121"/>
  <c r="C65" i="82"/>
  <c r="B21" i="87"/>
  <c r="C758" i="121"/>
  <c r="B41" i="87"/>
  <c r="C820" i="121"/>
  <c r="H801" i="121"/>
  <c r="B34" i="87"/>
  <c r="F790" i="121"/>
  <c r="B39" i="87"/>
  <c r="K790" i="121"/>
  <c r="B43" i="87"/>
  <c r="E820" i="121"/>
  <c r="I45" i="82"/>
  <c r="B17" i="87"/>
  <c r="I726" i="121"/>
  <c r="F734" i="121"/>
  <c r="F738" i="121"/>
  <c r="B23" i="87"/>
  <c r="E65" i="82"/>
  <c r="E758" i="121"/>
  <c r="B19" i="87"/>
  <c r="K45" i="82"/>
  <c r="K726" i="121"/>
  <c r="B10" i="87"/>
  <c r="B45" i="82"/>
  <c r="B726" i="121"/>
  <c r="C75" i="100"/>
  <c r="B40" i="111"/>
  <c r="B31" i="87"/>
  <c r="C790" i="121"/>
  <c r="B40" i="87"/>
  <c r="B820" i="121"/>
  <c r="B37" i="87"/>
  <c r="I790" i="121"/>
  <c r="B13" i="87"/>
  <c r="E45" i="82"/>
  <c r="E726" i="121"/>
  <c r="B42" i="87"/>
  <c r="D820" i="121"/>
  <c r="I65" i="82"/>
  <c r="B27" i="87"/>
  <c r="I758" i="121"/>
  <c r="B33" i="87"/>
  <c r="E790" i="121"/>
  <c r="B18" i="87"/>
  <c r="J45" i="82"/>
  <c r="J726" i="121"/>
  <c r="B35" i="87"/>
  <c r="G790" i="121"/>
  <c r="B11" i="87"/>
  <c r="C45" i="82"/>
  <c r="C726" i="121"/>
  <c r="B28" i="87"/>
  <c r="J65" i="82"/>
  <c r="J758" i="121"/>
  <c r="B38" i="87"/>
  <c r="J790" i="121"/>
  <c r="H65" i="82"/>
  <c r="B26" i="87"/>
  <c r="H758" i="121"/>
  <c r="F65" i="82"/>
  <c r="B24" i="87"/>
  <c r="F758" i="121"/>
  <c r="B12" i="87"/>
  <c r="D45" i="82"/>
  <c r="D726" i="121"/>
  <c r="B20" i="87"/>
  <c r="B65" i="82"/>
  <c r="B758" i="121"/>
  <c r="B30" i="87"/>
  <c r="B790" i="121"/>
  <c r="G45" i="82"/>
  <c r="B15" i="87"/>
  <c r="G726" i="121"/>
  <c r="N28" i="121"/>
  <c r="Q672" i="121"/>
  <c r="P4" i="110"/>
  <c r="P442" i="121"/>
  <c r="O28"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G770" i="121" l="1"/>
  <c r="B15" i="82"/>
  <c r="J183" i="107"/>
  <c r="C32" i="111"/>
  <c r="C44" i="111" s="1"/>
  <c r="D32" i="111" s="1"/>
  <c r="O239" i="112"/>
  <c r="O1396" i="121" s="1"/>
  <c r="AW436" i="112"/>
  <c r="L238" i="112"/>
  <c r="O1395" i="121"/>
  <c r="L1395" i="121" s="1"/>
  <c r="N228" i="112"/>
  <c r="AV436" i="112"/>
  <c r="AI457" i="112"/>
  <c r="J303" i="112"/>
  <c r="J307" i="112"/>
  <c r="J1456" i="121" s="1"/>
  <c r="J382" i="112"/>
  <c r="J1531" i="121" s="1"/>
  <c r="K375" i="112"/>
  <c r="AY430" i="112"/>
  <c r="O1298" i="121"/>
  <c r="AX430" i="112"/>
  <c r="AV430" i="112"/>
  <c r="AW430" i="112"/>
  <c r="AW424" i="112"/>
  <c r="AV424" i="112"/>
  <c r="AX424" i="112"/>
  <c r="AY424" i="112"/>
  <c r="J1530" i="121"/>
  <c r="P303" i="112"/>
  <c r="P1459" i="121"/>
  <c r="H456" i="121"/>
  <c r="A456" i="121" s="1"/>
  <c r="A18" i="110"/>
  <c r="E39" i="95"/>
  <c r="L456" i="121"/>
  <c r="M456" i="121" s="1"/>
  <c r="M49" i="110"/>
  <c r="M50" i="110" s="1"/>
  <c r="B715" i="121" s="1"/>
  <c r="L463" i="121"/>
  <c r="M463" i="121" s="1"/>
  <c r="L459" i="121"/>
  <c r="M459" i="121" s="1"/>
  <c r="H458" i="121"/>
  <c r="A458" i="121" s="1"/>
  <c r="A20" i="110"/>
  <c r="E41" i="95"/>
  <c r="L20" i="110"/>
  <c r="M20" i="110" s="1"/>
  <c r="H463" i="121"/>
  <c r="A463" i="121" s="1"/>
  <c r="E46" i="95"/>
  <c r="A25" i="110"/>
  <c r="L461" i="121"/>
  <c r="M461" i="121" s="1"/>
  <c r="D53" i="82"/>
  <c r="D731" i="121"/>
  <c r="Q169" i="110"/>
  <c r="Q607" i="121" s="1"/>
  <c r="Q161" i="110"/>
  <c r="Q599" i="121" s="1"/>
  <c r="AD108" i="107"/>
  <c r="AF108" i="107" s="1"/>
  <c r="P121" i="110"/>
  <c r="P118" i="110"/>
  <c r="P152" i="110"/>
  <c r="Q166" i="110"/>
  <c r="Q604" i="121" s="1"/>
  <c r="Q165" i="110"/>
  <c r="Q603" i="121" s="1"/>
  <c r="Q171" i="110"/>
  <c r="Q609" i="121" s="1"/>
  <c r="F57" i="89"/>
  <c r="B15" i="111"/>
  <c r="H621" i="121"/>
  <c r="P183" i="110"/>
  <c r="P52" i="106"/>
  <c r="I62" i="106"/>
  <c r="P47" i="106" s="1"/>
  <c r="P90" i="121" s="1"/>
  <c r="P51" i="106"/>
  <c r="L77" i="121"/>
  <c r="L78" i="121" s="1"/>
  <c r="L35" i="106"/>
  <c r="P94" i="121"/>
  <c r="P95" i="121"/>
  <c r="I105" i="121"/>
  <c r="C10" i="86"/>
  <c r="B740" i="121"/>
  <c r="D734" i="121"/>
  <c r="D738" i="121"/>
  <c r="B827" i="121"/>
  <c r="B831" i="121"/>
  <c r="J797" i="121"/>
  <c r="J801" i="121"/>
  <c r="K738" i="121"/>
  <c r="K734" i="121"/>
  <c r="E766" i="121"/>
  <c r="E770" i="121"/>
  <c r="C766" i="121"/>
  <c r="C770" i="121"/>
  <c r="G797" i="121"/>
  <c r="G801" i="121"/>
  <c r="E738" i="121"/>
  <c r="E734" i="121"/>
  <c r="C738" i="121"/>
  <c r="C734" i="121"/>
  <c r="H766" i="121"/>
  <c r="H770" i="121"/>
  <c r="E801" i="121"/>
  <c r="E797" i="121"/>
  <c r="E827" i="121"/>
  <c r="E831" i="121"/>
  <c r="F797" i="121"/>
  <c r="F801" i="121"/>
  <c r="D766" i="121"/>
  <c r="D770" i="121"/>
  <c r="H734" i="121"/>
  <c r="H738" i="121"/>
  <c r="I766" i="121"/>
  <c r="I770" i="121"/>
  <c r="F831" i="121"/>
  <c r="F827" i="121"/>
  <c r="K770" i="121"/>
  <c r="K766" i="121"/>
  <c r="G738" i="121"/>
  <c r="G734" i="121"/>
  <c r="J766" i="121"/>
  <c r="J770" i="121"/>
  <c r="J734" i="121"/>
  <c r="J738" i="121"/>
  <c r="C827" i="121"/>
  <c r="C831" i="121"/>
  <c r="F766" i="121"/>
  <c r="F770" i="121"/>
  <c r="I734" i="121"/>
  <c r="I738" i="121"/>
  <c r="B801" i="121"/>
  <c r="B797" i="121"/>
  <c r="C40" i="111"/>
  <c r="K797" i="121"/>
  <c r="K801" i="121"/>
  <c r="B766" i="121"/>
  <c r="B770" i="121"/>
  <c r="D827" i="121"/>
  <c r="D831" i="121"/>
  <c r="I797" i="121"/>
  <c r="I801" i="121"/>
  <c r="D797" i="121"/>
  <c r="D801" i="121"/>
  <c r="C797" i="121"/>
  <c r="C801" i="12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175" i="110" s="1"/>
  <c r="N613" i="121" s="1"/>
  <c r="H32" i="95"/>
  <c r="AD109" i="107"/>
  <c r="AF109" i="107" s="1"/>
  <c r="M65" i="110"/>
  <c r="M67" i="110" s="1"/>
  <c r="M88" i="110" s="1"/>
  <c r="G32" i="95"/>
  <c r="Q162" i="110"/>
  <c r="Q600" i="121" s="1"/>
  <c r="BA438" i="112"/>
  <c r="BA449" i="112" s="1"/>
  <c r="AZ438" i="112"/>
  <c r="P286" i="112"/>
  <c r="BB449" i="112"/>
  <c r="AV438" i="112"/>
  <c r="O286" i="112"/>
  <c r="I286" i="112"/>
  <c r="AW438" i="112"/>
  <c r="E274" i="112"/>
  <c r="BC449" i="112"/>
  <c r="AY446" i="112"/>
  <c r="AX446" i="112"/>
  <c r="I368" i="112"/>
  <c r="H14" i="111"/>
  <c r="Q167" i="110"/>
  <c r="Q605" i="121" s="1"/>
  <c r="P157" i="110"/>
  <c r="K65" i="110"/>
  <c r="P63" i="110"/>
  <c r="Q164" i="110"/>
  <c r="Q602" i="121" s="1"/>
  <c r="K170" i="110"/>
  <c r="P168" i="110"/>
  <c r="Q163" i="110"/>
  <c r="Q601" i="121" s="1"/>
  <c r="P125" i="110"/>
  <c r="P131" i="110"/>
  <c r="P155" i="110"/>
  <c r="P111" i="110"/>
  <c r="P158" i="110"/>
  <c r="AX449" i="112" l="1"/>
  <c r="J380" i="112"/>
  <c r="J1529" i="121" s="1"/>
  <c r="D14" i="86"/>
  <c r="C732" i="121"/>
  <c r="R22" i="111"/>
  <c r="R23" i="111"/>
  <c r="E14" i="86"/>
  <c r="D732" i="121"/>
  <c r="AZ439" i="112"/>
  <c r="P1435" i="121"/>
  <c r="AW449" i="112"/>
  <c r="AY449" i="112"/>
  <c r="P1452" i="121"/>
  <c r="AJ459" i="112"/>
  <c r="AZ440" i="112"/>
  <c r="AV439" i="112"/>
  <c r="O1435" i="121"/>
  <c r="L458" i="121"/>
  <c r="M458" i="121" s="1"/>
  <c r="M487" i="121" s="1"/>
  <c r="M488" i="121" s="1"/>
  <c r="P621" i="121" s="1"/>
  <c r="A49" i="110"/>
  <c r="A6" i="110" s="1"/>
  <c r="A487" i="121"/>
  <c r="A444" i="121" s="1"/>
  <c r="F15" i="111"/>
  <c r="E53" i="82"/>
  <c r="E731" i="121"/>
  <c r="L175" i="110"/>
  <c r="L613" i="121" s="1"/>
  <c r="H7" i="100"/>
  <c r="G15" i="111"/>
  <c r="C52" i="100"/>
  <c r="E15" i="111"/>
  <c r="N79" i="110"/>
  <c r="N88" i="110"/>
  <c r="N85" i="110"/>
  <c r="N73" i="110"/>
  <c r="L73" i="110"/>
  <c r="N76" i="110"/>
  <c r="L82" i="110"/>
  <c r="C15" i="111"/>
  <c r="B16" i="111"/>
  <c r="B17" i="111" s="1"/>
  <c r="D15" i="111"/>
  <c r="B716" i="121"/>
  <c r="M76" i="110"/>
  <c r="M79" i="110"/>
  <c r="M175" i="110"/>
  <c r="M613" i="121" s="1"/>
  <c r="O85" i="110"/>
  <c r="P53" i="106"/>
  <c r="P96" i="121"/>
  <c r="C744" i="121"/>
  <c r="D44" i="111"/>
  <c r="E32" i="111" s="1"/>
  <c r="C740" i="121"/>
  <c r="D40" i="111"/>
  <c r="D10" i="86"/>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F14" i="86" l="1"/>
  <c r="E732" i="121"/>
  <c r="R24" i="111"/>
  <c r="P1556" i="121"/>
  <c r="P1163" i="121" s="1"/>
  <c r="P6" i="112"/>
  <c r="O1556" i="121"/>
  <c r="O1163" i="121" s="1"/>
  <c r="O6" i="112"/>
  <c r="B717" i="121"/>
  <c r="B720" i="121" s="1"/>
  <c r="B725" i="121" s="1"/>
  <c r="B733" i="121" s="1"/>
  <c r="B22" i="111"/>
  <c r="K8" i="111" s="1"/>
  <c r="F53" i="82"/>
  <c r="F731" i="121"/>
  <c r="G16" i="111"/>
  <c r="G17" i="111" s="1"/>
  <c r="G20" i="111" s="1"/>
  <c r="F16" i="111"/>
  <c r="F17" i="111" s="1"/>
  <c r="F20" i="111" s="1"/>
  <c r="C16" i="111"/>
  <c r="C17" i="111" s="1"/>
  <c r="C20" i="111" s="1"/>
  <c r="D16" i="111"/>
  <c r="D17" i="111" s="1"/>
  <c r="D20" i="111" s="1"/>
  <c r="C53" i="100"/>
  <c r="H16" i="111"/>
  <c r="H17" i="111" s="1"/>
  <c r="H20" i="111" s="1"/>
  <c r="E16" i="111"/>
  <c r="E17" i="111" s="1"/>
  <c r="E20" i="111" s="1"/>
  <c r="M167" i="107"/>
  <c r="M168" i="107" s="1"/>
  <c r="M170" i="107" s="1"/>
  <c r="M277" i="121"/>
  <c r="M278" i="121" s="1"/>
  <c r="M280" i="121" s="1"/>
  <c r="P277" i="121"/>
  <c r="P278" i="121" s="1"/>
  <c r="P280" i="121" s="1"/>
  <c r="J277" i="121"/>
  <c r="J278" i="121" s="1"/>
  <c r="J280" i="121" s="1"/>
  <c r="F158" i="121"/>
  <c r="F167" i="121"/>
  <c r="F159" i="121"/>
  <c r="F168" i="121"/>
  <c r="J168" i="121"/>
  <c r="J159" i="121"/>
  <c r="D744" i="121"/>
  <c r="E44" i="111"/>
  <c r="F32" i="111" s="1"/>
  <c r="D740" i="121"/>
  <c r="E40" i="111"/>
  <c r="E10" i="86"/>
  <c r="E174" i="90"/>
  <c r="F49" i="107"/>
  <c r="F58" i="107"/>
  <c r="K179" i="110"/>
  <c r="J49" i="107"/>
  <c r="J58" i="107"/>
  <c r="K6" i="111"/>
  <c r="L4" i="95"/>
  <c r="B20" i="111"/>
  <c r="C54" i="100"/>
  <c r="J4" i="91"/>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K175" i="110"/>
  <c r="K613" i="121" s="1"/>
  <c r="K85" i="110"/>
  <c r="K73" i="110"/>
  <c r="K82" i="110"/>
  <c r="K70" i="110"/>
  <c r="K76" i="110"/>
  <c r="K79" i="110"/>
  <c r="K88" i="110"/>
  <c r="F732" i="121" l="1"/>
  <c r="G14" i="86"/>
  <c r="R25" i="111"/>
  <c r="B734" i="121"/>
  <c r="B738" i="121"/>
  <c r="D22" i="111"/>
  <c r="G22" i="111"/>
  <c r="H22" i="111"/>
  <c r="B722" i="121"/>
  <c r="B739" i="121" s="1"/>
  <c r="Q662" i="121"/>
  <c r="Q224" i="110"/>
  <c r="Q232" i="110" s="1"/>
  <c r="P233" i="110" s="1"/>
  <c r="C22" i="111"/>
  <c r="F22" i="111"/>
  <c r="E22" i="111"/>
  <c r="G53" i="82"/>
  <c r="G731" i="121"/>
  <c r="J105" i="112"/>
  <c r="J1262" i="121" s="1"/>
  <c r="F243" i="121"/>
  <c r="H1481" i="121"/>
  <c r="E165" i="121"/>
  <c r="G164" i="121" s="1"/>
  <c r="D258" i="121"/>
  <c r="L1027" i="121"/>
  <c r="L1028" i="121" s="1"/>
  <c r="L1029" i="121"/>
  <c r="E197" i="121"/>
  <c r="J158" i="121"/>
  <c r="J167" i="121"/>
  <c r="G258" i="121"/>
  <c r="P167" i="121"/>
  <c r="P158" i="121"/>
  <c r="J281" i="121"/>
  <c r="J170" i="107"/>
  <c r="J171" i="107" s="1"/>
  <c r="G15" i="82"/>
  <c r="E744" i="121"/>
  <c r="F44" i="111"/>
  <c r="G32" i="111" s="1"/>
  <c r="R26" i="111" s="1"/>
  <c r="E740" i="121"/>
  <c r="F40" i="111"/>
  <c r="F10" i="86"/>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H14" i="86" l="1"/>
  <c r="G732" i="121"/>
  <c r="O226" i="110"/>
  <c r="O225" i="110"/>
  <c r="I22" i="111"/>
  <c r="F130" i="107"/>
  <c r="B721" i="121"/>
  <c r="F131" i="107"/>
  <c r="B21" i="111"/>
  <c r="K21" i="111" s="1"/>
  <c r="F240" i="121"/>
  <c r="F241" i="121"/>
  <c r="Q251" i="110"/>
  <c r="Q670" i="121"/>
  <c r="O664" i="121"/>
  <c r="O663" i="121"/>
  <c r="H53" i="82"/>
  <c r="H731" i="121"/>
  <c r="D13" i="86"/>
  <c r="F13" i="86"/>
  <c r="E13" i="86"/>
  <c r="G13" i="86"/>
  <c r="I13" i="86"/>
  <c r="H13" i="86"/>
  <c r="AF122" i="107"/>
  <c r="AF125" i="107"/>
  <c r="AH125" i="107" s="1"/>
  <c r="F744" i="121"/>
  <c r="G44" i="111"/>
  <c r="H32" i="111" s="1"/>
  <c r="F740" i="121"/>
  <c r="G40" i="111"/>
  <c r="G10" i="86"/>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1231" i="121" l="1"/>
  <c r="J76" i="112"/>
  <c r="J1233" i="121" s="1"/>
  <c r="I14" i="86"/>
  <c r="H732" i="121"/>
  <c r="R27" i="111"/>
  <c r="H21" i="111"/>
  <c r="D21" i="111"/>
  <c r="F21" i="111"/>
  <c r="G21" i="111"/>
  <c r="C21" i="111"/>
  <c r="E21" i="111"/>
  <c r="I21" i="111"/>
  <c r="J21" i="111"/>
  <c r="B39" i="111"/>
  <c r="B25" i="111"/>
  <c r="Q689" i="121"/>
  <c r="P671" i="121"/>
  <c r="N670" i="121"/>
  <c r="J22" i="111"/>
  <c r="I53" i="82"/>
  <c r="I731" i="121"/>
  <c r="AH122" i="107"/>
  <c r="E127" i="107" s="1"/>
  <c r="A127" i="107" s="1"/>
  <c r="G744" i="121"/>
  <c r="H44" i="111"/>
  <c r="I32" i="111" s="1"/>
  <c r="G740" i="121"/>
  <c r="H40" i="111"/>
  <c r="H10" i="86"/>
  <c r="C46" i="111"/>
  <c r="B55" i="111"/>
  <c r="F33" i="86" s="1"/>
  <c r="B53" i="111"/>
  <c r="B47" i="111"/>
  <c r="B48" i="111"/>
  <c r="K17" i="111"/>
  <c r="K20" i="111" s="1"/>
  <c r="C34" i="86" l="1"/>
  <c r="I732" i="121"/>
  <c r="R28" i="111"/>
  <c r="J39" i="111"/>
  <c r="G39" i="111"/>
  <c r="G25" i="111"/>
  <c r="B34" i="111"/>
  <c r="B38" i="111"/>
  <c r="B33" i="111"/>
  <c r="B44" i="82"/>
  <c r="D39" i="111"/>
  <c r="D25" i="111"/>
  <c r="H39" i="111"/>
  <c r="H25" i="111"/>
  <c r="K22" i="111"/>
  <c r="K39" i="111" s="1"/>
  <c r="C39" i="111"/>
  <c r="C25" i="111"/>
  <c r="F39" i="111"/>
  <c r="F25" i="111"/>
  <c r="I39" i="111"/>
  <c r="I25" i="111"/>
  <c r="J25" i="111"/>
  <c r="E39" i="111"/>
  <c r="E25" i="111"/>
  <c r="J53" i="82"/>
  <c r="J731" i="121"/>
  <c r="H744" i="121"/>
  <c r="I44" i="111"/>
  <c r="J32" i="111" s="1"/>
  <c r="H740" i="121"/>
  <c r="I40" i="111"/>
  <c r="I10" i="86"/>
  <c r="B49" i="111"/>
  <c r="B52" i="111" s="1"/>
  <c r="D46" i="111"/>
  <c r="C47" i="111"/>
  <c r="C53" i="111"/>
  <c r="C55" i="111"/>
  <c r="G33" i="86" s="1"/>
  <c r="C48" i="111"/>
  <c r="D34" i="86" l="1"/>
  <c r="J732" i="121"/>
  <c r="R29" i="111"/>
  <c r="B54" i="111"/>
  <c r="B71" i="111" s="1"/>
  <c r="K25" i="111"/>
  <c r="F33" i="111"/>
  <c r="G9" i="86" s="1"/>
  <c r="F34" i="111"/>
  <c r="F44" i="82"/>
  <c r="F38" i="111"/>
  <c r="C33" i="111"/>
  <c r="C34" i="111"/>
  <c r="C38" i="111"/>
  <c r="C44" i="82"/>
  <c r="C9" i="86"/>
  <c r="S21" i="111"/>
  <c r="D34" i="111"/>
  <c r="D38" i="111"/>
  <c r="D33" i="111"/>
  <c r="E9" i="86" s="1"/>
  <c r="D44" i="82"/>
  <c r="E33" i="111"/>
  <c r="F9" i="86" s="1"/>
  <c r="E34" i="111"/>
  <c r="E44" i="82"/>
  <c r="E38" i="111"/>
  <c r="B57" i="111"/>
  <c r="K44" i="82"/>
  <c r="J38" i="111"/>
  <c r="J33" i="111"/>
  <c r="D29" i="86" s="1"/>
  <c r="J44" i="82"/>
  <c r="J34" i="111"/>
  <c r="I33" i="111"/>
  <c r="C29" i="86" s="1"/>
  <c r="I34" i="111"/>
  <c r="I38" i="111"/>
  <c r="I44" i="82"/>
  <c r="H33" i="111"/>
  <c r="I9" i="86" s="1"/>
  <c r="H34" i="111"/>
  <c r="H38" i="111"/>
  <c r="H44" i="82"/>
  <c r="G38" i="111"/>
  <c r="G44" i="82"/>
  <c r="G33" i="111"/>
  <c r="H9" i="86" s="1"/>
  <c r="G34" i="111"/>
  <c r="K53" i="82"/>
  <c r="K731" i="121"/>
  <c r="I744" i="121"/>
  <c r="J44" i="111"/>
  <c r="K32" i="111" s="1"/>
  <c r="I740" i="121"/>
  <c r="J40" i="111"/>
  <c r="C30" i="86"/>
  <c r="C49" i="111"/>
  <c r="C52" i="111" s="1"/>
  <c r="E46" i="111"/>
  <c r="D47" i="111"/>
  <c r="D53" i="111"/>
  <c r="D55" i="111"/>
  <c r="H33" i="86" s="1"/>
  <c r="D48" i="111"/>
  <c r="B65" i="111" l="1"/>
  <c r="F29" i="86" s="1"/>
  <c r="E34" i="86"/>
  <c r="K732" i="121"/>
  <c r="R33" i="111"/>
  <c r="R31" i="111"/>
  <c r="R36" i="111"/>
  <c r="R32" i="111"/>
  <c r="R35" i="111"/>
  <c r="I47" i="106" s="1"/>
  <c r="I90" i="121" s="1"/>
  <c r="R39" i="111"/>
  <c r="R30" i="111"/>
  <c r="R34" i="111"/>
  <c r="R40" i="111"/>
  <c r="R37" i="111"/>
  <c r="R38" i="111"/>
  <c r="B66" i="111"/>
  <c r="B70" i="111"/>
  <c r="B64" i="82"/>
  <c r="K33" i="111"/>
  <c r="E29" i="86" s="1"/>
  <c r="K34" i="111"/>
  <c r="K38" i="111"/>
  <c r="C54" i="111"/>
  <c r="C71" i="111" s="1"/>
  <c r="D9" i="86"/>
  <c r="S26" i="111"/>
  <c r="S23" i="111"/>
  <c r="S29" i="111"/>
  <c r="S27" i="111"/>
  <c r="S28" i="111"/>
  <c r="S25" i="111"/>
  <c r="S22" i="111"/>
  <c r="S24" i="111"/>
  <c r="B73" i="82"/>
  <c r="B763" i="121"/>
  <c r="J744" i="121"/>
  <c r="K44" i="111"/>
  <c r="J740" i="121"/>
  <c r="K40" i="111"/>
  <c r="D30" i="86"/>
  <c r="D49" i="111"/>
  <c r="D52" i="111" s="1"/>
  <c r="F46" i="111"/>
  <c r="E47" i="111"/>
  <c r="E55" i="111"/>
  <c r="I33" i="86" s="1"/>
  <c r="E53" i="111"/>
  <c r="E48" i="111"/>
  <c r="S30" i="111" l="1"/>
  <c r="S31" i="111"/>
  <c r="D54" i="111"/>
  <c r="D71" i="111" s="1"/>
  <c r="C57" i="111"/>
  <c r="C73" i="82"/>
  <c r="C763" i="121"/>
  <c r="K744" i="121"/>
  <c r="B76" i="111"/>
  <c r="K740" i="121"/>
  <c r="B72" i="111"/>
  <c r="E30" i="86"/>
  <c r="G46" i="111"/>
  <c r="F55" i="111"/>
  <c r="C53" i="86" s="1"/>
  <c r="F47" i="111"/>
  <c r="F53" i="111"/>
  <c r="F48" i="111"/>
  <c r="E49" i="111"/>
  <c r="E52" i="111" s="1"/>
  <c r="V176" i="72"/>
  <c r="V177" i="72"/>
  <c r="D57" i="111" l="1"/>
  <c r="D66" i="111" s="1"/>
  <c r="C66" i="111"/>
  <c r="C65" i="111"/>
  <c r="C64" i="82"/>
  <c r="C70" i="111"/>
  <c r="E54" i="111"/>
  <c r="E71" i="111" s="1"/>
  <c r="F54" i="111"/>
  <c r="F71" i="111" s="1"/>
  <c r="D73" i="82"/>
  <c r="D763" i="121"/>
  <c r="B776" i="121"/>
  <c r="C76" i="111"/>
  <c r="B772" i="121"/>
  <c r="C72" i="111"/>
  <c r="F30" i="86"/>
  <c r="H46" i="111"/>
  <c r="G47" i="111"/>
  <c r="G53" i="111"/>
  <c r="G55" i="111"/>
  <c r="D53" i="86" s="1"/>
  <c r="G48" i="111"/>
  <c r="F49" i="111"/>
  <c r="F52" i="111" s="1"/>
  <c r="D70" i="111" l="1"/>
  <c r="D64" i="82"/>
  <c r="D65" i="111"/>
  <c r="G29" i="86"/>
  <c r="S32" i="111"/>
  <c r="F57" i="111"/>
  <c r="E57" i="111"/>
  <c r="E73" i="82"/>
  <c r="E763" i="121"/>
  <c r="C776" i="121"/>
  <c r="D76" i="111"/>
  <c r="C772" i="121"/>
  <c r="D72" i="111"/>
  <c r="G30" i="86"/>
  <c r="I46" i="111"/>
  <c r="H55" i="111"/>
  <c r="E53" i="86" s="1"/>
  <c r="H47" i="111"/>
  <c r="H53" i="111"/>
  <c r="H48" i="111"/>
  <c r="G49" i="111"/>
  <c r="G52" i="111" s="1"/>
  <c r="F65" i="111" l="1"/>
  <c r="C49" i="86" s="1"/>
  <c r="F64" i="82"/>
  <c r="H29" i="86"/>
  <c r="S33" i="111"/>
  <c r="F66" i="111"/>
  <c r="E65" i="111"/>
  <c r="S35" i="111" s="1"/>
  <c r="F47" i="106" s="1"/>
  <c r="E64" i="82"/>
  <c r="E70" i="111"/>
  <c r="E66" i="111"/>
  <c r="F70" i="111"/>
  <c r="G54" i="111"/>
  <c r="G71" i="111" s="1"/>
  <c r="F73" i="82"/>
  <c r="F763" i="121"/>
  <c r="D776" i="121"/>
  <c r="E76" i="111"/>
  <c r="D772" i="121"/>
  <c r="E72" i="111"/>
  <c r="H30" i="86"/>
  <c r="J46" i="111"/>
  <c r="I47" i="111"/>
  <c r="I53" i="111"/>
  <c r="I55" i="111"/>
  <c r="F53" i="86" s="1"/>
  <c r="I48" i="111"/>
  <c r="H49" i="111"/>
  <c r="H52" i="111" s="1"/>
  <c r="I29" i="86" l="1"/>
  <c r="S34" i="111"/>
  <c r="H54" i="111"/>
  <c r="H71" i="111" s="1"/>
  <c r="G57" i="111"/>
  <c r="G73" i="82"/>
  <c r="G763" i="121"/>
  <c r="E776" i="121"/>
  <c r="F76" i="111"/>
  <c r="L47" i="106"/>
  <c r="L90" i="121" s="1"/>
  <c r="F90" i="121"/>
  <c r="E772" i="121"/>
  <c r="F72" i="111"/>
  <c r="I30" i="86"/>
  <c r="K46" i="111"/>
  <c r="J55" i="111"/>
  <c r="G53" i="86" s="1"/>
  <c r="J53" i="111"/>
  <c r="J47" i="111"/>
  <c r="J48" i="111"/>
  <c r="I49" i="111"/>
  <c r="I52" i="111" s="1"/>
  <c r="I54" i="111" l="1"/>
  <c r="I71" i="111" s="1"/>
  <c r="G64" i="82"/>
  <c r="G65" i="111"/>
  <c r="S36" i="111" s="1"/>
  <c r="G66" i="111"/>
  <c r="G70" i="111"/>
  <c r="H57" i="111"/>
  <c r="H73" i="82"/>
  <c r="H763" i="121"/>
  <c r="F776" i="121"/>
  <c r="G76" i="111"/>
  <c r="G776" i="121" s="1"/>
  <c r="F772" i="121"/>
  <c r="G72" i="111"/>
  <c r="C50" i="86"/>
  <c r="J49" i="111"/>
  <c r="J52" i="111" s="1"/>
  <c r="B78" i="111"/>
  <c r="K53" i="111"/>
  <c r="K55" i="111"/>
  <c r="H53" i="86" s="1"/>
  <c r="K47" i="111"/>
  <c r="K48" i="111"/>
  <c r="I133" i="73"/>
  <c r="G59" i="93"/>
  <c r="G61" i="93"/>
  <c r="O138" i="72"/>
  <c r="I57" i="111" l="1"/>
  <c r="I64" i="82" s="1"/>
  <c r="H65" i="111"/>
  <c r="S37" i="111" s="1"/>
  <c r="H64" i="82"/>
  <c r="H66" i="111"/>
  <c r="H70" i="111"/>
  <c r="J54" i="111"/>
  <c r="J71" i="111" s="1"/>
  <c r="I73" i="82"/>
  <c r="I763" i="121"/>
  <c r="G772" i="121"/>
  <c r="H72" i="111"/>
  <c r="D50" i="86"/>
  <c r="K49" i="111"/>
  <c r="K52" i="111" s="1"/>
  <c r="C78" i="111"/>
  <c r="B85" i="111"/>
  <c r="B87" i="111"/>
  <c r="B79" i="111"/>
  <c r="B80" i="111"/>
  <c r="G62" i="93"/>
  <c r="G63" i="93"/>
  <c r="G58" i="93"/>
  <c r="G60" i="93"/>
  <c r="P47" i="72"/>
  <c r="P46" i="72"/>
  <c r="P45" i="72"/>
  <c r="I70" i="111" l="1"/>
  <c r="I65" i="111"/>
  <c r="S38" i="111" s="1"/>
  <c r="I66" i="111"/>
  <c r="K54" i="111"/>
  <c r="K71" i="111" s="1"/>
  <c r="J57" i="111"/>
  <c r="J73" i="82"/>
  <c r="J763" i="121"/>
  <c r="H772" i="121"/>
  <c r="I72" i="111"/>
  <c r="E50" i="86"/>
  <c r="B81" i="111"/>
  <c r="B84" i="111" s="1"/>
  <c r="D78" i="111"/>
  <c r="C79" i="111"/>
  <c r="C87" i="111"/>
  <c r="C85" i="111"/>
  <c r="C80" i="111"/>
  <c r="AB57" i="72"/>
  <c r="AB58" i="72"/>
  <c r="AB59" i="72"/>
  <c r="AB60" i="72"/>
  <c r="AB61" i="72"/>
  <c r="Z56" i="72"/>
  <c r="AI35" i="72"/>
  <c r="AH35" i="72"/>
  <c r="AG35" i="72"/>
  <c r="AF35" i="72"/>
  <c r="AE35" i="72"/>
  <c r="AD35" i="72"/>
  <c r="B86" i="111" l="1"/>
  <c r="B102" i="111" s="1"/>
  <c r="K57" i="111"/>
  <c r="J70" i="111"/>
  <c r="J66" i="111"/>
  <c r="J64" i="82"/>
  <c r="J65" i="111"/>
  <c r="S39" i="111" s="1"/>
  <c r="C86" i="111"/>
  <c r="C102" i="111" s="1"/>
  <c r="B89" i="111"/>
  <c r="B95" i="111"/>
  <c r="K73" i="82"/>
  <c r="K763" i="121"/>
  <c r="I772" i="121"/>
  <c r="J72" i="111"/>
  <c r="F50" i="86"/>
  <c r="E78" i="111"/>
  <c r="D79" i="111"/>
  <c r="D85" i="111"/>
  <c r="D87" i="111"/>
  <c r="D80" i="111"/>
  <c r="C81" i="111"/>
  <c r="C84" i="111" s="1"/>
  <c r="R344" i="72"/>
  <c r="D4" i="93"/>
  <c r="B96" i="111" l="1"/>
  <c r="B796" i="121" s="1"/>
  <c r="B97" i="111"/>
  <c r="B101" i="111"/>
  <c r="K64" i="82"/>
  <c r="K70" i="111"/>
  <c r="K65" i="111"/>
  <c r="S40" i="111" s="1"/>
  <c r="K66" i="111"/>
  <c r="C89" i="111"/>
  <c r="C95" i="111"/>
  <c r="B795" i="12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96" i="111" l="1"/>
  <c r="C796" i="121" s="1"/>
  <c r="C97" i="111"/>
  <c r="C101" i="111"/>
  <c r="D86" i="111"/>
  <c r="D102" i="111" s="1"/>
  <c r="D95" i="111"/>
  <c r="C795" i="121"/>
  <c r="K772" i="121"/>
  <c r="L100" i="85"/>
  <c r="L70" i="85"/>
  <c r="B103" i="111"/>
  <c r="H50" i="86"/>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D89" i="111"/>
  <c r="E95" i="111"/>
  <c r="D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7" i="111" l="1"/>
  <c r="D101" i="111"/>
  <c r="D96" i="111"/>
  <c r="D796" i="121" s="1"/>
  <c r="F86" i="111"/>
  <c r="F102" i="111" s="1"/>
  <c r="E89" i="111"/>
  <c r="F95" i="111"/>
  <c r="E795" i="121"/>
  <c r="C803" i="121"/>
  <c r="D103" i="111"/>
  <c r="G81" i="111"/>
  <c r="G84" i="111" s="1"/>
  <c r="I78" i="111"/>
  <c r="H79" i="111"/>
  <c r="H85" i="111"/>
  <c r="H87" i="111"/>
  <c r="H80" i="111"/>
  <c r="E62" i="100"/>
  <c r="K37" i="100"/>
  <c r="C40" i="100"/>
  <c r="K35" i="100"/>
  <c r="K62" i="100"/>
  <c r="E101" i="111" l="1"/>
  <c r="E97" i="111"/>
  <c r="E96" i="111"/>
  <c r="E796" i="121" s="1"/>
  <c r="G86" i="111"/>
  <c r="G102" i="111" s="1"/>
  <c r="F89" i="111"/>
  <c r="G95" i="111"/>
  <c r="F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H102" i="111" s="1"/>
  <c r="G89" i="111"/>
  <c r="F97" i="111"/>
  <c r="F96" i="111"/>
  <c r="F796" i="121" s="1"/>
  <c r="F101" i="111"/>
  <c r="I86" i="111"/>
  <c r="I102" i="111" s="1"/>
  <c r="H95" i="111"/>
  <c r="G795" i="121"/>
  <c r="E803" i="121"/>
  <c r="F103" i="111"/>
  <c r="I81" i="111"/>
  <c r="I84" i="111" s="1"/>
  <c r="K78" i="111"/>
  <c r="J87" i="111"/>
  <c r="J85" i="111"/>
  <c r="J79" i="111"/>
  <c r="J80" i="111"/>
  <c r="H89" i="111" l="1"/>
  <c r="I89" i="111"/>
  <c r="I101" i="111" s="1"/>
  <c r="G96" i="111"/>
  <c r="G796" i="121" s="1"/>
  <c r="G97" i="111"/>
  <c r="G101" i="111"/>
  <c r="I95" i="111"/>
  <c r="H795" i="121"/>
  <c r="F803" i="121"/>
  <c r="G103" i="111"/>
  <c r="J81" i="111"/>
  <c r="J84" i="111" s="1"/>
  <c r="B108" i="111"/>
  <c r="K85" i="111"/>
  <c r="K87" i="111"/>
  <c r="K79" i="111"/>
  <c r="K80" i="111"/>
  <c r="F18" i="85"/>
  <c r="I96" i="111" l="1"/>
  <c r="I796" i="121" s="1"/>
  <c r="I97" i="111"/>
  <c r="H97" i="111"/>
  <c r="H96" i="111"/>
  <c r="H796" i="121" s="1"/>
  <c r="H101" i="111"/>
  <c r="J86" i="111"/>
  <c r="J102" i="111" s="1"/>
  <c r="J95" i="111"/>
  <c r="I795" i="121"/>
  <c r="G803" i="121"/>
  <c r="H103" i="111"/>
  <c r="C108" i="111"/>
  <c r="B109" i="111"/>
  <c r="B117" i="111"/>
  <c r="B115" i="111"/>
  <c r="B110" i="111"/>
  <c r="K81" i="111"/>
  <c r="K84" i="111" s="1"/>
  <c r="E242" i="72"/>
  <c r="K86" i="111" l="1"/>
  <c r="K102" i="111" s="1"/>
  <c r="J89" i="111"/>
  <c r="K95" i="111"/>
  <c r="J795" i="121"/>
  <c r="H803" i="121"/>
  <c r="I103" i="111"/>
  <c r="B111" i="111"/>
  <c r="B114" i="111" s="1"/>
  <c r="D108" i="111"/>
  <c r="C109" i="111"/>
  <c r="C117" i="111"/>
  <c r="C115" i="111"/>
  <c r="C110" i="111"/>
  <c r="Q295" i="72"/>
  <c r="Q298" i="72"/>
  <c r="Q94" i="72"/>
  <c r="Q312" i="72"/>
  <c r="Q311" i="72"/>
  <c r="K89" i="111" l="1"/>
  <c r="J101" i="111"/>
  <c r="J96" i="111"/>
  <c r="J796" i="121" s="1"/>
  <c r="J97" i="111"/>
  <c r="B116" i="111"/>
  <c r="B132" i="111" s="1"/>
  <c r="B125" i="111"/>
  <c r="K795" i="121"/>
  <c r="I803" i="121"/>
  <c r="J103" i="111"/>
  <c r="E108" i="111"/>
  <c r="D115" i="111"/>
  <c r="D109" i="111"/>
  <c r="D117" i="111"/>
  <c r="D110" i="111"/>
  <c r="C111" i="111"/>
  <c r="C114" i="111" s="1"/>
  <c r="I91" i="72"/>
  <c r="K96" i="111" l="1"/>
  <c r="K796" i="121" s="1"/>
  <c r="K101" i="111"/>
  <c r="K97" i="111"/>
  <c r="C116" i="111"/>
  <c r="C132" i="111" s="1"/>
  <c r="B119" i="111"/>
  <c r="D116" i="111"/>
  <c r="D132" i="111" s="1"/>
  <c r="C125" i="111"/>
  <c r="B825" i="121"/>
  <c r="J803" i="121"/>
  <c r="K103" i="111"/>
  <c r="D111" i="111"/>
  <c r="D114" i="111" s="1"/>
  <c r="F108" i="111"/>
  <c r="E109" i="111"/>
  <c r="E115" i="111"/>
  <c r="E117" i="111"/>
  <c r="E110" i="111"/>
  <c r="L285" i="72"/>
  <c r="B126" i="111" l="1"/>
  <c r="B131" i="111"/>
  <c r="B127" i="111"/>
  <c r="D119" i="111"/>
  <c r="C119" i="111"/>
  <c r="D125" i="111"/>
  <c r="C825" i="121"/>
  <c r="K803" i="121"/>
  <c r="B133" i="111"/>
  <c r="F109" i="111"/>
  <c r="F117" i="111"/>
  <c r="F115" i="111"/>
  <c r="F110" i="111"/>
  <c r="E111" i="111"/>
  <c r="E114" i="111" s="1"/>
  <c r="Q339" i="73"/>
  <c r="H152" i="72"/>
  <c r="D126" i="111" l="1"/>
  <c r="D131" i="111"/>
  <c r="D127" i="111"/>
  <c r="C131" i="111"/>
  <c r="C127" i="111"/>
  <c r="C126" i="111"/>
  <c r="E116" i="111"/>
  <c r="E132" i="111" s="1"/>
  <c r="E125" i="111"/>
  <c r="D825" i="121"/>
  <c r="B833" i="121"/>
  <c r="C133" i="111"/>
  <c r="F111" i="111"/>
  <c r="F114" i="111" s="1"/>
  <c r="L184" i="72"/>
  <c r="E119" i="111" l="1"/>
  <c r="E126" i="111" s="1"/>
  <c r="F116" i="111"/>
  <c r="F132" i="111" s="1"/>
  <c r="F125" i="111"/>
  <c r="F825" i="121" s="1"/>
  <c r="E825" i="121"/>
  <c r="C833" i="121"/>
  <c r="D133" i="111"/>
  <c r="L242" i="72"/>
  <c r="P225" i="72"/>
  <c r="R225" i="72"/>
  <c r="Q18" i="72"/>
  <c r="E131" i="111" l="1"/>
  <c r="E127" i="111"/>
  <c r="F119" i="111"/>
  <c r="D833" i="121"/>
  <c r="E133" i="111"/>
  <c r="F31" i="72"/>
  <c r="F30" i="72"/>
  <c r="E30" i="72"/>
  <c r="F29" i="72"/>
  <c r="E29" i="72"/>
  <c r="F28" i="72"/>
  <c r="F27" i="72"/>
  <c r="F26" i="72"/>
  <c r="N210" i="73"/>
  <c r="J274" i="72"/>
  <c r="K226" i="72"/>
  <c r="J113" i="72"/>
  <c r="M56" i="73"/>
  <c r="F24" i="72"/>
  <c r="F23" i="72"/>
  <c r="F22" i="72"/>
  <c r="P310" i="72"/>
  <c r="E24" i="72"/>
  <c r="F131" i="111" l="1"/>
  <c r="F126" i="111"/>
  <c r="F127"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J58" i="82" l="1"/>
  <c r="H58" i="82"/>
  <c r="E58" i="82"/>
  <c r="C58" i="82"/>
  <c r="K58" i="82"/>
  <c r="B78" i="82" s="1"/>
  <c r="G58" i="82"/>
  <c r="B58" i="82"/>
  <c r="D58" i="82"/>
  <c r="I58" i="82"/>
  <c r="F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<sst xmlns="http://schemas.openxmlformats.org/spreadsheetml/2006/main" count="14242" uniqueCount="5177">
  <si>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</si>
  <si>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</si>
  <si>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</si>
  <si>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</si>
  <si>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</si>
  <si>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</si>
  <si>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</si>
  <si>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</si>
  <si>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</si>
  <si>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</si>
  <si>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</si>
  <si>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</si>
  <si>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</si>
  <si>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</si>
  <si>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</si>
  <si>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</si>
  <si>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</si>
  <si>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</si>
  <si>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</si>
  <si>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</si>
  <si>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</si>
  <si>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</si>
  <si>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</si>
  <si>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</si>
  <si>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</si>
  <si>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</si>
  <si>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</si>
  <si>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</si>
  <si>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</si>
  <si>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</si>
  <si>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</si>
  <si>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</si>
  <si>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</si>
  <si>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</si>
  <si>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</si>
  <si>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</si>
  <si>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</si>
  <si>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</si>
  <si>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</si>
  <si>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</si>
  <si>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</si>
  <si>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</si>
  <si>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</si>
  <si>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</si>
  <si>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</si>
  <si>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</si>
  <si>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</si>
  <si>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</si>
  <si>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</si>
  <si>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</si>
  <si>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</si>
  <si>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</si>
  <si>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</si>
  <si>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</si>
  <si>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</si>
  <si>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</si>
  <si>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</si>
  <si>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</si>
  <si>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</si>
  <si>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</si>
  <si>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</si>
  <si>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</si>
  <si>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</si>
  <si>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</si>
  <si>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</si>
  <si>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</si>
  <si>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</si>
  <si>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</si>
  <si>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</si>
  <si>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</si>
  <si>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</si>
  <si>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</si>
  <si>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</si>
  <si>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</si>
  <si>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</si>
  <si>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</si>
  <si>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</si>
  <si>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</si>
  <si>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</si>
  <si>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</si>
  <si>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</si>
  <si>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</si>
  <si>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</si>
  <si>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</si>
  <si>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</si>
  <si>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</si>
  <si>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</si>
  <si>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</si>
  <si>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</si>
  <si>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</si>
  <si>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</si>
  <si>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</si>
  <si>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</si>
  <si>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</si>
  <si>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</si>
  <si>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</si>
  <si>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</si>
  <si>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</si>
  <si>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</si>
  <si>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</si>
  <si>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</si>
  <si>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</si>
  <si>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</si>
  <si>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</si>
  <si>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</si>
  <si>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</si>
  <si>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</si>
  <si>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</si>
  <si>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</si>
  <si>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</si>
  <si>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</si>
  <si>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</si>
  <si>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</si>
  <si>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</si>
  <si>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</si>
  <si>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</si>
  <si>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</si>
  <si>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</si>
  <si>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</si>
  <si>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</si>
  <si>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</si>
  <si>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</si>
  <si>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</si>
  <si>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</si>
  <si>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</si>
  <si>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</si>
  <si>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</si>
  <si>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</si>
  <si>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</si>
  <si>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</si>
  <si>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</si>
  <si>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</si>
  <si>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</si>
  <si>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</si>
  <si>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</si>
  <si>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</si>
  <si>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</si>
  <si>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</si>
  <si>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</si>
  <si>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</si>
  <si>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</si>
  <si>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</si>
  <si>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</si>
  <si>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</si>
  <si>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</si>
  <si>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</si>
  <si>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</si>
  <si>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</si>
  <si>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</si>
  <si>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</si>
  <si>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</si>
  <si>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</si>
  <si>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</si>
  <si>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</si>
  <si>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</si>
  <si>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</si>
  <si>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</si>
  <si>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</si>
  <si>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</si>
  <si>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</si>
  <si>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</si>
  <si>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</si>
  <si>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</si>
  <si>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</si>
  <si>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</si>
  <si>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</si>
  <si>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</si>
  <si>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</si>
  <si>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</si>
  <si>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</si>
  <si>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</si>
  <si>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</si>
  <si>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</si>
  <si>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</si>
  <si>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</si>
  <si>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</si>
  <si>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</si>
  <si>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</si>
  <si>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</si>
  <si>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</si>
  <si>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</si>
  <si>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</si>
  <si>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</si>
  <si>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</si>
  <si>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</si>
  <si>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</si>
  <si>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</si>
  <si>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</si>
  <si>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</si>
  <si>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</si>
  <si>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</si>
  <si>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</si>
  <si>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</si>
  <si>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</si>
  <si>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</si>
  <si>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</si>
  <si>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</si>
  <si>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</si>
  <si>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</si>
  <si>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</si>
  <si>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</si>
  <si>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</si>
  <si>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</si>
  <si>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</si>
  <si>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</si>
  <si>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</si>
  <si>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</si>
  <si>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</si>
  <si>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</si>
  <si>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</si>
  <si>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</si>
  <si>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</si>
  <si>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</si>
  <si>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</si>
  <si>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</si>
  <si>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</si>
  <si>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</si>
  <si>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</si>
  <si>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</si>
  <si>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</si>
  <si>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</si>
  <si>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</si>
  <si>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</si>
  <si>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</si>
  <si>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</si>
  <si>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</si>
  <si>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</si>
  <si>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</si>
  <si>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</si>
  <si>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</si>
  <si>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</si>
  <si>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</si>
  <si>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</si>
  <si>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</si>
  <si>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</si>
  <si>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</si>
  <si>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</si>
  <si>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</si>
  <si>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</si>
  <si>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</si>
  <si>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</si>
  <si>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</si>
  <si>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</si>
  <si>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</si>
  <si>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</si>
  <si>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</si>
  <si>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</si>
  <si>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</si>
  <si>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</si>
  <si>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</si>
  <si>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</si>
  <si>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</si>
  <si>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</si>
  <si>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</si>
  <si>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</si>
  <si>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</si>
  <si>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</si>
  <si>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</si>
  <si>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</si>
  <si>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</si>
  <si>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</si>
  <si>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</si>
  <si>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</si>
  <si>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</si>
  <si>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</si>
  <si>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</si>
  <si>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</si>
  <si>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</si>
  <si>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</si>
  <si>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</si>
  <si>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</si>
  <si>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</si>
  <si>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</si>
  <si>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</si>
  <si>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</si>
  <si>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</si>
  <si>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</si>
  <si>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</si>
  <si>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</si>
  <si>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</si>
  <si>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</si>
  <si>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</si>
  <si>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</si>
  <si>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</si>
  <si>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</si>
  <si>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</si>
  <si>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</si>
  <si>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</si>
  <si>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</si>
  <si>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</si>
  <si>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</si>
  <si>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</si>
  <si>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</si>
  <si>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</si>
  <si>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</si>
  <si>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</si>
  <si>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</si>
  <si>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</si>
  <si>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</si>
  <si>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</si>
  <si>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</si>
  <si>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</si>
  <si>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</si>
  <si>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</si>
  <si>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</si>
  <si>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</si>
  <si>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</si>
  <si>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</si>
  <si>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</si>
  <si>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</si>
  <si>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</si>
  <si>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</si>
  <si>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</si>
  <si>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</si>
  <si>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</si>
  <si>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</si>
  <si>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</si>
  <si>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</si>
  <si>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</si>
  <si>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</si>
  <si>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</si>
  <si>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</si>
  <si>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</si>
  <si>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</si>
  <si>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</si>
  <si>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</si>
  <si>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</si>
  <si>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</si>
  <si>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</si>
  <si>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</si>
  <si>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</si>
  <si>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</si>
  <si>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</si>
  <si>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</si>
  <si>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</si>
  <si>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</si>
  <si>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</si>
  <si>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</si>
  <si>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</si>
  <si>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</si>
  <si>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</si>
  <si>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</si>
  <si>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</si>
  <si>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</si>
  <si>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</si>
  <si>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</si>
  <si>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</si>
  <si>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</si>
  <si>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</si>
  <si>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</si>
  <si>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</si>
  <si>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</si>
  <si>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</si>
  <si>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</si>
  <si>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</si>
  <si>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</si>
  <si>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</si>
  <si>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</si>
  <si>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</si>
  <si>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</si>
  <si>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</si>
  <si>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</si>
  <si>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</si>
  <si>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</si>
  <si>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</si>
  <si>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</si>
  <si>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</si>
  <si>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</si>
  <si>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</si>
  <si>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</si>
  <si>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</si>
  <si>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</si>
  <si>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</si>
  <si>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</si>
  <si>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</si>
  <si>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</si>
  <si>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</si>
  <si>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</si>
  <si>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</si>
  <si>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</si>
  <si>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</si>
  <si>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</si>
  <si>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</si>
  <si>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</si>
  <si>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</si>
  <si>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</si>
  <si>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</si>
  <si>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</si>
  <si>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</si>
  <si>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</si>
  <si>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</si>
  <si>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</si>
  <si>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</si>
  <si>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</si>
  <si>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</si>
  <si>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</si>
  <si>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</si>
  <si>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</si>
  <si>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</si>
  <si>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</si>
  <si>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</si>
  <si>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</si>
  <si>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</si>
  <si>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</si>
  <si>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</si>
  <si>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</si>
  <si>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</si>
  <si>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</si>
  <si>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</si>
  <si>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</si>
  <si>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</si>
  <si>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</si>
  <si>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</si>
  <si>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</si>
  <si>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</si>
  <si>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</si>
  <si>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</si>
  <si>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</si>
  <si>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</si>
  <si>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</si>
  <si>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</si>
  <si>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</si>
  <si>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</si>
  <si>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</si>
  <si>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</si>
  <si>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</si>
  <si>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</si>
  <si>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</si>
  <si>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</si>
  <si>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</si>
  <si>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</si>
  <si>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</si>
  <si>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</si>
  <si>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</si>
  <si>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</si>
  <si>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</si>
  <si>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</si>
  <si>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</si>
  <si>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</si>
  <si>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</si>
  <si>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</si>
  <si>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</si>
  <si>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</si>
  <si>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</si>
  <si>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</si>
  <si>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</si>
  <si>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</si>
  <si>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</si>
  <si>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</si>
  <si>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</si>
  <si>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</si>
  <si>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</si>
  <si>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</si>
  <si>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</si>
  <si>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</si>
  <si>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</si>
  <si>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</si>
  <si>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</si>
  <si>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</si>
  <si>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</si>
  <si>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</si>
  <si>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</si>
  <si>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</si>
  <si>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</si>
  <si>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</si>
  <si>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</si>
  <si>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</si>
  <si>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</si>
  <si>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</si>
  <si>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</si>
  <si>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</si>
  <si>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</si>
  <si>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</si>
  <si>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</si>
  <si>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</si>
  <si>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</si>
  <si>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</si>
  <si>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</si>
  <si>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</si>
  <si>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</si>
  <si>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</si>
  <si>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</si>
  <si>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</si>
  <si>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</si>
  <si>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</si>
  <si>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</si>
  <si>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</si>
  <si>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</si>
  <si>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</si>
  <si>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</si>
  <si>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</si>
  <si>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</si>
  <si>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</si>
  <si>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</si>
  <si>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</si>
  <si>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</si>
  <si>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</si>
  <si>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</si>
  <si>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</si>
  <si>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</si>
  <si>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</si>
  <si>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</si>
  <si>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</si>
  <si>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</si>
  <si>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</si>
  <si>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</si>
  <si>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</si>
  <si>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</si>
  <si>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</si>
  <si>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</si>
  <si>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</si>
  <si>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</si>
  <si>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</si>
  <si>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</si>
  <si>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</si>
  <si>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</si>
  <si>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</si>
  <si>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</si>
  <si>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</si>
  <si>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</si>
  <si>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</si>
  <si>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</si>
  <si>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</si>
  <si>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</si>
  <si>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</si>
  <si>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</si>
  <si>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</si>
  <si>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</si>
  <si>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</si>
  <si>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</si>
  <si>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</si>
  <si>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</si>
  <si>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</si>
  <si>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</si>
  <si>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</si>
  <si>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</si>
  <si>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</si>
  <si>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</si>
  <si>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</si>
  <si>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</si>
  <si>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</si>
  <si>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</si>
  <si>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</si>
  <si>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</si>
  <si>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</si>
  <si>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</si>
  <si>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</si>
  <si>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</si>
  <si>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</si>
  <si>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</si>
  <si>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</si>
  <si>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</si>
  <si>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</si>
  <si>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</si>
  <si>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</si>
  <si>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</si>
  <si>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</si>
  <si>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</si>
  <si>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</si>
  <si>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</si>
  <si>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</si>
  <si>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</si>
  <si>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</si>
  <si>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</si>
  <si>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</si>
  <si>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</si>
  <si>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</si>
  <si>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</si>
  <si>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</si>
  <si>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</si>
  <si>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</si>
  <si>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</si>
  <si>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</si>
  <si>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</si>
  <si>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</si>
  <si>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</si>
  <si>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</si>
  <si>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</si>
  <si>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</si>
  <si>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</si>
  <si>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</si>
  <si>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</si>
  <si>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</si>
  <si>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</si>
  <si>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</si>
  <si>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</si>
  <si>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</si>
  <si>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</si>
  <si>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</si>
  <si>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</si>
  <si>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</si>
  <si>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</si>
  <si>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</si>
  <si>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</si>
  <si>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</si>
  <si>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</si>
  <si>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</si>
  <si>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</si>
  <si>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</si>
  <si>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</si>
  <si>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</si>
  <si>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</si>
  <si>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</si>
  <si>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</si>
  <si>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</si>
  <si>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</si>
  <si>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</si>
  <si>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</si>
  <si>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</si>
  <si>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</si>
  <si>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</si>
  <si>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</si>
  <si>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</si>
  <si>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</si>
  <si>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</si>
  <si>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</si>
  <si>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</si>
  <si>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</si>
  <si>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</si>
  <si>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</si>
  <si>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</si>
  <si>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</si>
  <si>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</si>
  <si>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</si>
  <si>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</si>
  <si>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</si>
  <si>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</si>
  <si>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</si>
  <si>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</si>
  <si>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</si>
  <si>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</si>
  <si>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</si>
  <si>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</si>
  <si>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</si>
  <si>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</si>
  <si>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</si>
  <si>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</si>
  <si>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</si>
  <si>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</si>
  <si>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</si>
  <si>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</si>
  <si>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</si>
  <si>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</si>
  <si>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</si>
  <si>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</si>
  <si>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</si>
  <si>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</si>
  <si>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</si>
  <si>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</si>
  <si>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</si>
  <si>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</si>
  <si>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</si>
  <si>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</si>
  <si>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</si>
  <si>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</si>
  <si>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</si>
  <si>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</si>
  <si>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</si>
  <si>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</si>
  <si>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</si>
  <si>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</si>
  <si>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</si>
  <si>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</si>
  <si>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</si>
  <si>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</si>
  <si>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</si>
  <si>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</si>
  <si>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</si>
  <si>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</si>
  <si>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</si>
  <si>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</si>
  <si>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</si>
  <si>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</si>
  <si>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</si>
  <si>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</si>
  <si>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</si>
  <si>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</si>
  <si>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</si>
  <si>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</si>
  <si>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</si>
  <si>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</si>
  <si>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</si>
  <si>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</si>
  <si>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</si>
  <si>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</si>
  <si>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</si>
  <si>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</si>
  <si>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</si>
  <si>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</si>
  <si>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</si>
  <si>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</si>
  <si>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</si>
  <si>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</si>
  <si>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</si>
  <si>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</si>
  <si>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</si>
  <si>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</si>
  <si>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</si>
  <si>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</si>
  <si>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</si>
  <si>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</si>
  <si>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</si>
  <si>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</si>
  <si>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</si>
  <si>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</si>
  <si>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</si>
  <si>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</si>
  <si>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</si>
  <si>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</si>
  <si>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</si>
  <si>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</si>
  <si>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</si>
  <si>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</si>
  <si>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</si>
  <si>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</si>
  <si>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</si>
  <si>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</si>
  <si>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</si>
  <si>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</si>
  <si>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</si>
  <si>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</si>
  <si>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</si>
  <si>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</si>
  <si>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</si>
  <si>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</si>
  <si>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</si>
  <si>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</si>
  <si>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</si>
  <si>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</si>
  <si>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</si>
  <si>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</si>
  <si>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</si>
  <si>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</si>
  <si>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</si>
  <si>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</si>
  <si>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</si>
  <si>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</si>
  <si>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</si>
  <si>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</si>
  <si>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</si>
  <si>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</si>
  <si>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</si>
  <si>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</si>
  <si>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</si>
  <si>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</si>
  <si>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</si>
  <si>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</si>
  <si>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</si>
  <si>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</si>
  <si>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</si>
  <si>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</si>
  <si>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</si>
  <si>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</si>
  <si>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</si>
  <si>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</si>
  <si>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</si>
  <si>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</si>
  <si>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</si>
  <si>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</si>
  <si>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</si>
  <si>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</si>
  <si>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</si>
  <si>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</si>
  <si>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</si>
  <si>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</si>
  <si>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</si>
  <si>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</si>
  <si>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</si>
  <si>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</si>
  <si>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</si>
  <si>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</si>
  <si>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</si>
  <si>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</si>
  <si>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</si>
  <si>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</si>
  <si>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</si>
  <si>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</si>
  <si>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</si>
  <si>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</si>
  <si>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</si>
  <si>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</si>
  <si>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</si>
  <si>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</si>
  <si>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</si>
  <si>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</si>
  <si>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</si>
  <si>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</si>
  <si>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</si>
  <si>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</si>
  <si>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</si>
  <si>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</si>
  <si>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</si>
  <si>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</si>
  <si>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</si>
  <si>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</si>
  <si>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</si>
  <si>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</si>
  <si>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</si>
  <si>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</si>
  <si>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</si>
  <si>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</si>
  <si>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</si>
  <si>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</si>
  <si>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</si>
  <si>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</si>
  <si>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</si>
  <si>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</si>
  <si>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</si>
  <si>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</si>
  <si>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</si>
  <si>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</si>
  <si>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</si>
  <si>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</si>
  <si>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</si>
  <si>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</si>
  <si>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</si>
  <si>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</si>
  <si>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</si>
  <si>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</si>
  <si>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</si>
  <si>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</si>
  <si>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</si>
  <si>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</si>
  <si>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</si>
  <si>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</si>
  <si>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</si>
  <si>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</si>
  <si>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</si>
  <si>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</si>
  <si>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</si>
  <si>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</si>
  <si>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</si>
  <si>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</si>
  <si>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</si>
  <si>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</si>
  <si>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</si>
  <si>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</si>
  <si>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</si>
  <si>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</si>
  <si>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</si>
  <si>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</si>
  <si>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</si>
  <si>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</si>
  <si>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</si>
  <si>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</si>
  <si>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</si>
  <si>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</si>
  <si>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</si>
  <si>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</si>
  <si>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</si>
  <si>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</si>
  <si>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</si>
  <si>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</si>
  <si>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</si>
  <si>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</si>
  <si>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</si>
  <si>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</si>
  <si>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</si>
  <si>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</si>
  <si>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</si>
  <si>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</si>
  <si>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</si>
  <si>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</si>
  <si>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</si>
  <si>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</si>
  <si>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</si>
  <si>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</si>
  <si>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</si>
  <si>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</si>
  <si>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</si>
  <si>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</si>
  <si>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</si>
  <si>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</si>
  <si>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</si>
  <si>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</si>
  <si>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</si>
  <si>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</si>
  <si>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</si>
  <si>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</si>
  <si>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</si>
  <si>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</si>
  <si>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</si>
  <si>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</si>
  <si>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</si>
  <si>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</si>
  <si>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</si>
  <si>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</si>
  <si>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</si>
  <si>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</si>
  <si>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</si>
  <si>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</si>
  <si>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</si>
  <si>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</si>
  <si>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</si>
  <si>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</si>
  <si>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</si>
  <si>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</si>
  <si>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</si>
  <si>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</si>
  <si>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</si>
  <si>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</si>
  <si>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</si>
  <si>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</si>
  <si>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</si>
  <si>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</si>
  <si>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</si>
  <si>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</si>
  <si>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</si>
  <si>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</si>
  <si>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</si>
  <si>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</si>
  <si>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</si>
  <si>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</si>
  <si>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</si>
  <si>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</si>
  <si>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</si>
  <si>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</si>
  <si>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</si>
  <si>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</si>
  <si>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</si>
  <si>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</si>
  <si>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</si>
  <si>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</si>
  <si>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</si>
  <si>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</si>
  <si>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</si>
  <si>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</si>
  <si>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</si>
  <si>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</si>
  <si>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</si>
  <si>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</si>
  <si>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</si>
  <si>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</si>
  <si>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</si>
  <si>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</si>
  <si>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</si>
  <si>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</si>
  <si>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</si>
  <si>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</si>
  <si>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</si>
  <si>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</si>
  <si>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</si>
  <si>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</si>
  <si>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</si>
  <si>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</si>
  <si>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</si>
  <si>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</si>
  <si>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</si>
  <si>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</si>
  <si>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</si>
  <si>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</si>
  <si>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</si>
  <si>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</si>
  <si>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</si>
  <si>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</si>
  <si>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</si>
  <si>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</si>
  <si>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</si>
  <si>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</si>
  <si>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</si>
  <si>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</si>
  <si>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</si>
  <si>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</si>
  <si>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</si>
  <si>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</si>
  <si>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</si>
  <si>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</si>
  <si>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</si>
  <si>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</si>
  <si>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</si>
  <si>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</si>
  <si>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</si>
  <si>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</si>
  <si>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</si>
  <si>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</si>
  <si>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</si>
  <si>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</si>
  <si>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</si>
  <si>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</si>
  <si>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</si>
  <si>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</si>
  <si>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</si>
  <si>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</si>
  <si>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</si>
  <si>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</si>
  <si>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</si>
  <si>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</si>
  <si>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</si>
  <si>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</si>
  <si>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</si>
  <si>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</si>
  <si>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</si>
  <si>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</si>
  <si>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</si>
  <si>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</si>
  <si>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</si>
  <si>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</si>
  <si>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</si>
  <si>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</si>
  <si>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</si>
  <si>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</si>
  <si>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</si>
  <si>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</si>
  <si>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</si>
  <si>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</si>
  <si>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</si>
  <si>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</si>
  <si>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</si>
  <si>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</si>
  <si>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</si>
  <si>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</si>
  <si>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</si>
  <si>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</si>
  <si>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</si>
  <si>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</si>
  <si>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</si>
  <si>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</si>
  <si>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</si>
  <si>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</si>
  <si>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</si>
  <si>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</si>
  <si>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</si>
  <si>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</si>
  <si>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</si>
  <si>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</si>
  <si>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</si>
  <si>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</si>
  <si>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</si>
  <si>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</si>
  <si>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</si>
  <si>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</si>
  <si>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</si>
  <si>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</si>
  <si>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</si>
  <si>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</si>
  <si>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</si>
  <si>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</si>
  <si>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</si>
  <si>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</si>
  <si>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</si>
  <si>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</si>
  <si>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</si>
  <si>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</si>
  <si>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</si>
  <si>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</si>
  <si>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</si>
  <si>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</si>
  <si>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</si>
  <si>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</si>
  <si>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</si>
  <si>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</si>
  <si>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</si>
  <si>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</si>
  <si>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</si>
  <si>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</si>
  <si>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</si>
  <si>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</si>
  <si>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</si>
  <si>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</si>
  <si>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</si>
  <si>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</si>
  <si>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</si>
  <si>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</si>
  <si>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</si>
  <si>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</si>
  <si>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</si>
  <si>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</si>
  <si>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</si>
  <si>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</si>
  <si>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</si>
  <si>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</si>
  <si>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</si>
  <si>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</si>
  <si>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</si>
  <si>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</si>
  <si>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</si>
  <si>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</si>
  <si>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</si>
  <si>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</si>
  <si>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</si>
  <si>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</si>
  <si>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</si>
  <si>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</si>
  <si>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</si>
  <si>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</si>
  <si>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</si>
  <si>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</si>
  <si>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</si>
  <si>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</si>
  <si>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</si>
  <si>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</si>
  <si>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</si>
  <si>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</si>
  <si>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</si>
  <si>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</si>
  <si>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</si>
  <si>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</si>
  <si>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</si>
  <si>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</si>
  <si>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</si>
  <si>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</si>
  <si>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</si>
  <si>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</si>
  <si>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</si>
  <si>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</si>
  <si>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</si>
  <si>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</si>
  <si>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</si>
  <si>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</si>
  <si>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</si>
  <si>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</si>
  <si>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</si>
  <si>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</si>
  <si>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</si>
  <si>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</si>
  <si>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</si>
  <si>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</si>
  <si>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</si>
  <si>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</si>
  <si>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</si>
  <si>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</si>
  <si>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</si>
  <si>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</si>
  <si>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</si>
  <si>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</si>
  <si>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</si>
  <si>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</si>
  <si>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</si>
  <si>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</si>
  <si>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</si>
  <si>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</si>
  <si>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</si>
  <si>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</si>
  <si>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</si>
  <si>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</si>
  <si>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</si>
  <si>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</si>
  <si>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</si>
  <si>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</si>
  <si>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</si>
  <si>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</si>
  <si>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</si>
  <si>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</si>
  <si>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</si>
  <si>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</si>
  <si>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</si>
  <si>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</si>
  <si>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</si>
  <si>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</si>
  <si>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</si>
  <si>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</si>
  <si>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</si>
  <si>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</si>
  <si>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</si>
  <si>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</si>
  <si>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</si>
  <si>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</si>
  <si>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</si>
  <si>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</si>
  <si>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</si>
  <si>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</si>
  <si>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</si>
  <si>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</si>
  <si>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</si>
  <si>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</si>
  <si>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</si>
  <si>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</si>
  <si>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</si>
  <si>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</si>
  <si>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</si>
  <si>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</si>
  <si>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</si>
  <si>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</si>
  <si>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</si>
  <si>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</si>
  <si>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</si>
  <si>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</si>
  <si>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</si>
  <si>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</si>
  <si>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</si>
  <si>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</si>
  <si>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</si>
  <si>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</si>
  <si>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</si>
  <si>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</si>
  <si>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</si>
  <si>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</si>
  <si>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</si>
  <si>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</si>
  <si>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</si>
  <si>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</si>
  <si>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</si>
  <si>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</si>
  <si>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</si>
  <si>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</si>
  <si>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</si>
  <si>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</si>
  <si>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</si>
  <si>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</si>
  <si>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</si>
  <si>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</si>
  <si>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</si>
  <si>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</si>
  <si>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</si>
  <si>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</si>
  <si>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</si>
  <si>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</si>
  <si>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</si>
  <si>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</si>
  <si>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</si>
  <si>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</si>
  <si>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</si>
  <si>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</si>
  <si>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</si>
  <si>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</si>
  <si>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</si>
  <si>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</si>
  <si>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</si>
  <si>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</si>
  <si>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</si>
  <si>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</si>
  <si>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</si>
  <si>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</si>
  <si>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</si>
  <si>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</si>
  <si>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</si>
  <si>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</si>
  <si>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</si>
  <si>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</si>
  <si>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</si>
  <si>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</si>
  <si>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</si>
  <si>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</si>
  <si>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</si>
  <si>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</si>
  <si>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</si>
  <si>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</si>
  <si>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</si>
  <si>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</si>
  <si>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</si>
  <si>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</si>
  <si>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</si>
  <si>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</si>
  <si>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</si>
  <si>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</si>
  <si>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</si>
  <si>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</si>
  <si>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</si>
  <si>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</si>
  <si>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</si>
  <si>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</si>
  <si>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</si>
  <si>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</si>
  <si>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</si>
  <si>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</si>
  <si>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</si>
  <si>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</si>
  <si>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</si>
  <si>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</si>
  <si>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</si>
  <si>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</si>
  <si>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</si>
  <si>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</si>
  <si>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</si>
  <si>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</si>
  <si>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</si>
  <si>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</si>
  <si>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</si>
  <si>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</si>
  <si>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</si>
  <si>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</si>
  <si>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</si>
  <si>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</si>
  <si>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</si>
  <si>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</si>
  <si>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</si>
  <si>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</si>
  <si>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</si>
  <si>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</si>
  <si>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</si>
  <si>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</si>
  <si>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</si>
  <si>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</si>
  <si>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</si>
  <si>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</si>
  <si>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</si>
  <si>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</si>
  <si>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</si>
  <si>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</si>
  <si>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</si>
  <si>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</si>
  <si>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</si>
  <si>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</si>
  <si>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</si>
  <si>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</si>
  <si>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</si>
  <si>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</si>
  <si>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</si>
  <si>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</si>
  <si>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</si>
  <si>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</si>
  <si>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</si>
  <si>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</si>
  <si>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</si>
  <si>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</si>
  <si>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</si>
  <si>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</si>
  <si>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</si>
  <si>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</si>
  <si>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</si>
  <si>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</si>
  <si>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</si>
  <si>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</si>
  <si>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</si>
  <si>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</si>
  <si>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</si>
  <si>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</si>
  <si>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</si>
  <si>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</si>
  <si>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</si>
  <si>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</si>
  <si>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</si>
  <si>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</si>
  <si>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</si>
  <si>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</si>
  <si>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</si>
  <si>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</si>
  <si>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</si>
  <si>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</si>
  <si>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</si>
  <si>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</si>
  <si>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</si>
  <si>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</si>
  <si>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</si>
  <si>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</si>
  <si>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</si>
  <si>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</si>
  <si>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</si>
  <si>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</si>
  <si>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</si>
  <si>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</si>
  <si>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</si>
  <si>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</si>
  <si>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</si>
  <si>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</si>
  <si>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</si>
  <si>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</si>
  <si>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</si>
  <si>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</si>
  <si>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</si>
  <si>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</si>
  <si>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</si>
  <si>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</si>
  <si>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</si>
  <si>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</si>
  <si>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</si>
  <si>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</si>
  <si>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</si>
  <si>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</si>
  <si>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</si>
  <si>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</si>
  <si>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</si>
  <si>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</si>
  <si>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</si>
  <si>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</si>
  <si>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</si>
  <si>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</si>
  <si>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</si>
  <si>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</si>
  <si>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</si>
  <si>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</si>
  <si>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</si>
  <si>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</si>
  <si>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</si>
  <si>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</si>
  <si>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</si>
  <si>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</si>
  <si>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</si>
  <si>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</si>
  <si>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</si>
  <si>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</si>
  <si>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</si>
  <si>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</si>
  <si>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</si>
  <si>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</si>
  <si>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</si>
  <si>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</si>
  <si>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</si>
  <si>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</si>
  <si>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</si>
  <si>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</si>
  <si>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</si>
  <si>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</si>
  <si>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</si>
  <si>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</si>
  <si>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</si>
  <si>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</si>
  <si>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</si>
  <si>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</si>
  <si>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</si>
  <si>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</si>
  <si>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</si>
  <si>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</si>
  <si>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</si>
  <si>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</si>
  <si>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</si>
  <si>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</si>
  <si>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</si>
  <si>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</si>
  <si>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</si>
  <si>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</si>
  <si>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</si>
  <si>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</si>
  <si>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</si>
  <si>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</si>
  <si>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</si>
  <si>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</si>
  <si>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</si>
  <si>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</si>
  <si>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</si>
  <si>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</si>
  <si>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</si>
  <si>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</si>
  <si>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</si>
  <si>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</si>
  <si>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</si>
  <si>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</si>
  <si>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</si>
  <si>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</si>
  <si>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</si>
  <si>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</si>
  <si>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</si>
  <si>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</si>
  <si>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</si>
  <si>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</si>
  <si>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</si>
  <si>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</si>
  <si>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</si>
  <si>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</si>
  <si>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</si>
  <si>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</si>
  <si>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</si>
  <si>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</si>
  <si>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</si>
  <si>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</si>
  <si>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</si>
  <si>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</si>
  <si>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</si>
  <si>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</si>
  <si>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</si>
  <si>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</si>
  <si>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</si>
  <si>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</si>
  <si>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</si>
  <si>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</si>
  <si>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</si>
  <si>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</si>
  <si>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</si>
  <si>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</si>
  <si>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</si>
  <si>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</si>
  <si>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</si>
  <si>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</si>
  <si>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</si>
  <si>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</si>
  <si>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</si>
  <si>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</si>
  <si>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</si>
  <si>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</si>
  <si>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</si>
  <si>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</si>
  <si>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</si>
  <si>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</si>
  <si>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</si>
  <si>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</si>
  <si>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</si>
  <si>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</si>
  <si>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</si>
  <si>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</si>
  <si>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</si>
  <si>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</si>
  <si>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</si>
  <si>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</si>
  <si>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</si>
  <si>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</si>
  <si>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</si>
  <si>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</si>
  <si>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</si>
  <si>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</si>
  <si>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</si>
  <si>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</si>
  <si>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</si>
  <si>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</si>
  <si>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</si>
  <si>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</si>
  <si>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</si>
  <si>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</si>
  <si>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</si>
  <si>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</si>
  <si>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</si>
  <si>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</si>
  <si>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</si>
  <si>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</si>
  <si>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</si>
  <si>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</si>
  <si>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</si>
  <si>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</si>
  <si>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</si>
  <si>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</si>
  <si>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</si>
  <si>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</si>
  <si>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</si>
  <si>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</si>
  <si>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</si>
  <si>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</si>
  <si>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</si>
  <si>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</si>
  <si>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</si>
  <si>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</si>
  <si>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</si>
  <si>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</si>
  <si>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</si>
  <si>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</si>
  <si>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</si>
  <si>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</si>
  <si>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</si>
  <si>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</si>
  <si>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</si>
  <si>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</si>
  <si>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</si>
  <si>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</si>
  <si>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</si>
  <si>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</si>
  <si>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</si>
  <si>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</si>
  <si>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</si>
  <si>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</si>
  <si>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</si>
  <si>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</si>
  <si>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</si>
  <si>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</si>
  <si>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</si>
  <si>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</si>
  <si>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</si>
  <si>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</si>
  <si>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</si>
  <si>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</si>
  <si>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</si>
  <si>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</si>
  <si>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</si>
  <si>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</si>
  <si>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</si>
  <si>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</si>
  <si>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</si>
  <si>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</si>
  <si>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</si>
  <si>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</si>
  <si>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</si>
  <si>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</si>
  <si>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</si>
  <si>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</si>
  <si>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</si>
  <si>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</si>
  <si>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</si>
  <si>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</si>
  <si>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</si>
  <si>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</si>
  <si>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</si>
  <si>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</si>
  <si>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</si>
  <si>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</si>
  <si>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</si>
  <si>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</si>
  <si>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</si>
  <si>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</si>
  <si>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</si>
  <si>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</si>
  <si>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</si>
  <si>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</si>
  <si>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</si>
  <si>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</si>
  <si>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</si>
  <si>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</si>
  <si>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</si>
  <si>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</si>
  <si>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</si>
  <si>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</si>
  <si>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</si>
  <si>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</si>
  <si>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</si>
  <si>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</si>
  <si>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</si>
  <si>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</si>
  <si>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</si>
  <si>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</si>
  <si>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</si>
  <si>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</si>
  <si>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</si>
  <si>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</si>
  <si>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</si>
  <si>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</si>
  <si>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</si>
  <si>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</si>
  <si>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</si>
  <si>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</si>
  <si>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</si>
  <si>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</si>
  <si>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</si>
  <si>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</si>
  <si>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</si>
  <si>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</si>
  <si>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</si>
  <si>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</si>
  <si>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</si>
  <si>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</si>
  <si>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</si>
  <si>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</si>
  <si>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</si>
  <si>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</si>
  <si>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</si>
  <si>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</si>
  <si>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</si>
  <si>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</si>
  <si>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</si>
  <si>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</si>
  <si>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</si>
  <si>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</si>
  <si>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</si>
  <si>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</si>
  <si>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</si>
  <si>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</si>
  <si>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</si>
  <si>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</si>
  <si>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</si>
  <si>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</si>
  <si>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</si>
  <si>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</si>
  <si>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</si>
  <si>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</si>
  <si>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</si>
  <si>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</si>
  <si>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</si>
  <si>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</si>
  <si>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</si>
  <si>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</si>
  <si>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</si>
  <si>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</si>
  <si>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</si>
  <si>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</si>
  <si>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</si>
  <si>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</si>
  <si>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</si>
  <si>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</si>
  <si>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</si>
  <si>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</si>
  <si>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</si>
  <si>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</si>
  <si>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</si>
  <si>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</si>
  <si>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</si>
  <si>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</si>
  <si>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</si>
  <si>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</si>
  <si>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</si>
  <si>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</si>
  <si>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</si>
  <si>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</si>
  <si>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</si>
  <si>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</si>
  <si>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</si>
  <si>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</si>
  <si>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</si>
  <si>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</si>
  <si>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</si>
  <si>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</si>
  <si>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</si>
  <si>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</si>
  <si>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</si>
  <si>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</si>
  <si>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</si>
  <si>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</si>
  <si>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</si>
  <si>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</si>
  <si>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</si>
  <si>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</si>
  <si>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</si>
  <si>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</si>
  <si>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</si>
  <si>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</si>
  <si>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</si>
  <si>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</si>
  <si>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</si>
  <si>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</si>
  <si>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</si>
  <si>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</si>
  <si>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</si>
  <si>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</si>
  <si>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</si>
  <si>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</si>
  <si>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</si>
  <si>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</si>
  <si>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</si>
  <si>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</si>
  <si>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</si>
  <si>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</si>
  <si>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</si>
  <si>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</si>
  <si>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</si>
  <si>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</si>
  <si>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</si>
  <si>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</si>
  <si>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</si>
  <si>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</si>
  <si>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</si>
  <si>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</si>
  <si>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</si>
  <si>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</si>
  <si>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</si>
  <si>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</si>
  <si>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</si>
  <si>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</si>
  <si>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</si>
  <si>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</si>
  <si>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</si>
  <si>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</si>
  <si>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</si>
  <si>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</si>
  <si>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</si>
  <si>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</si>
  <si>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</si>
  <si>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</si>
  <si>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</si>
  <si>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</si>
  <si>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</si>
  <si>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</si>
  <si>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</si>
  <si>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</si>
  <si>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</si>
  <si>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</si>
  <si>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</si>
  <si>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</si>
  <si>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</si>
  <si>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</si>
  <si>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</si>
  <si>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</si>
  <si>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</si>
  <si>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</si>
  <si>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</si>
  <si>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</si>
  <si>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</si>
  <si>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</si>
  <si>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</si>
  <si>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</si>
  <si>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</si>
  <si>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</si>
  <si>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</si>
  <si>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</si>
  <si>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</si>
  <si>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</si>
  <si>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</si>
  <si>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</si>
  <si>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</si>
  <si>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</si>
  <si>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</si>
  <si>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</si>
  <si>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</si>
  <si>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</si>
  <si>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</si>
  <si>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</si>
  <si>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</si>
  <si>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</si>
  <si>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</si>
  <si>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</si>
  <si>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</si>
  <si>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</si>
  <si>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</si>
  <si>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</si>
  <si>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</si>
  <si>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</si>
  <si>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</si>
  <si>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</si>
  <si>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</si>
  <si>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</si>
  <si>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</si>
  <si>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</si>
  <si>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</si>
  <si>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</si>
  <si>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</si>
  <si>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</si>
  <si>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</si>
  <si>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</si>
  <si>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</si>
  <si>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</si>
  <si>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</si>
  <si>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</si>
  <si>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</si>
  <si>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</si>
  <si>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</si>
  <si>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</si>
  <si>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</si>
  <si>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</si>
  <si>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</si>
  <si>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</si>
  <si>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</si>
  <si>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</si>
  <si>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</si>
  <si>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</si>
  <si>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</si>
  <si>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</si>
  <si>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</si>
  <si>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</si>
  <si>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</si>
  <si>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</si>
  <si>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</si>
  <si>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</si>
  <si>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</si>
  <si>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</si>
  <si>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</si>
  <si>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</si>
  <si>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</si>
  <si>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</si>
  <si>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</si>
  <si>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</si>
  <si>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</si>
  <si>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</si>
  <si>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</si>
  <si>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</si>
  <si>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</si>
  <si>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</si>
  <si>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</si>
  <si>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</si>
  <si>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</si>
  <si>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</si>
  <si>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</si>
  <si>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</si>
  <si>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</si>
  <si>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</si>
  <si>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</si>
  <si>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</si>
  <si>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</si>
  <si>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</si>
  <si>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</si>
  <si>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</si>
  <si>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</si>
  <si>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</si>
  <si>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</si>
  <si>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</si>
  <si>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</si>
  <si>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</si>
  <si>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</si>
  <si>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</si>
  <si>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</si>
  <si>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</si>
  <si>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</si>
  <si>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</si>
  <si>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</si>
  <si>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</si>
  <si>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</si>
  <si>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</si>
  <si>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</si>
  <si>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</si>
  <si>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</si>
  <si>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</si>
  <si>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</si>
  <si>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</si>
  <si>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</si>
  <si>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</si>
  <si>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</si>
  <si>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</si>
  <si>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</si>
  <si>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</si>
  <si>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</si>
  <si>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</si>
  <si>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</si>
  <si>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</si>
  <si>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</si>
  <si>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</si>
  <si>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</si>
  <si>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</si>
  <si>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</si>
  <si>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</si>
  <si>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</si>
  <si>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</si>
  <si>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</si>
  <si>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</si>
  <si>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</si>
  <si>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</si>
  <si>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</si>
  <si>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</si>
  <si>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</si>
  <si>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</si>
  <si>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</si>
  <si>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</si>
  <si>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</si>
  <si>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</si>
  <si>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</si>
  <si>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</si>
  <si>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</si>
  <si>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</si>
  <si>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</si>
  <si>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</si>
  <si>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</si>
  <si>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</si>
  <si>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</si>
  <si>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</si>
  <si>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</si>
  <si>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</si>
  <si>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</si>
  <si>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</si>
  <si>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</si>
  <si>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</si>
  <si>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</si>
  <si>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</si>
  <si>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</si>
  <si>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</si>
  <si>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</si>
  <si>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</si>
  <si>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</si>
  <si>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</si>
  <si>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</si>
  <si>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</si>
  <si>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</si>
  <si>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</si>
  <si>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</si>
  <si>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</si>
  <si>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</si>
  <si>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</si>
  <si>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</si>
  <si>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</si>
  <si>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</si>
  <si>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</si>
  <si>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</si>
  <si>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</si>
  <si>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</si>
  <si>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</si>
  <si>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</si>
  <si>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</si>
  <si>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</si>
  <si>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</si>
  <si>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</si>
  <si>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</si>
  <si>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</si>
  <si>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</si>
  <si>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</si>
  <si>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</si>
  <si>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</si>
  <si>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</si>
  <si>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</si>
  <si>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</si>
  <si>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</si>
  <si>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</si>
  <si>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</si>
  <si>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</si>
  <si>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</si>
  <si>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</si>
  <si>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</si>
  <si>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</si>
  <si>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</si>
  <si>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</si>
  <si>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</si>
  <si>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</si>
  <si>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</si>
  <si>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</si>
  <si>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</si>
  <si>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</si>
  <si>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</si>
  <si>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</si>
  <si>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</si>
  <si>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</si>
  <si>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</si>
  <si>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</si>
  <si>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</si>
  <si>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</si>
  <si>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</si>
  <si>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</si>
  <si>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</si>
  <si>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</si>
  <si>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</si>
  <si>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</si>
  <si>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</si>
  <si>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</si>
  <si>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</si>
  <si>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</si>
  <si>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</si>
  <si>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</si>
  <si>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</si>
  <si>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</si>
  <si>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</si>
  <si>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</si>
  <si>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</si>
  <si>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</si>
  <si>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</si>
  <si>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</si>
  <si>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</si>
  <si>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</si>
  <si>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</si>
  <si>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</si>
  <si>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</si>
  <si>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</si>
  <si>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</si>
  <si>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</si>
  <si>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</si>
  <si>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</si>
  <si>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</si>
  <si>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</si>
  <si>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</si>
  <si>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</si>
  <si>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</si>
  <si>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</si>
  <si>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</si>
  <si>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</si>
  <si>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</si>
  <si>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</si>
  <si>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</si>
  <si>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</si>
  <si>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</si>
  <si>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</si>
  <si>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</si>
  <si>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</si>
  <si>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</si>
  <si>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</si>
  <si>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</si>
  <si>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</si>
  <si>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</si>
  <si>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</si>
  <si>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</si>
  <si>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</si>
  <si>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</si>
  <si>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</si>
  <si>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</si>
  <si>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</si>
  <si>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</si>
  <si>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</si>
  <si>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</si>
  <si>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</si>
  <si>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</si>
  <si>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</si>
  <si>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</si>
  <si>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</si>
  <si>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</si>
  <si>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</si>
  <si>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</si>
  <si>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</si>
  <si>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</si>
  <si>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</si>
  <si>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</si>
  <si>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</si>
  <si>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</si>
  <si>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</si>
  <si>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</si>
  <si>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</si>
  <si>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</si>
  <si>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</si>
  <si>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</si>
  <si>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</si>
  <si>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</si>
  <si>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</si>
  <si>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</si>
  <si>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</si>
  <si>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</si>
  <si>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</si>
  <si>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</si>
  <si>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</si>
  <si>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</si>
  <si>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</si>
  <si>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</si>
  <si>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</si>
  <si>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</si>
  <si>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</si>
  <si>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</si>
  <si>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</si>
  <si>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</si>
  <si>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</si>
  <si>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</si>
  <si>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</si>
  <si>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</si>
  <si>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</si>
  <si>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</si>
  <si>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</si>
  <si>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</si>
  <si>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</si>
  <si>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</si>
  <si>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</si>
  <si>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</si>
  <si>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</si>
  <si>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</si>
  <si>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</si>
  <si>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</si>
  <si>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</si>
  <si>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</si>
  <si>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</si>
  <si>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</si>
  <si>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</si>
  <si>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</si>
  <si>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</si>
  <si>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</si>
  <si>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</si>
  <si>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</si>
  <si>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</si>
  <si>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</si>
  <si>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</si>
  <si>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</si>
  <si>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</si>
  <si>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</si>
  <si>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</si>
  <si>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</si>
  <si>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</si>
  <si>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</si>
  <si>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</si>
  <si>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</si>
  <si>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</si>
  <si>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</si>
  <si>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</si>
  <si>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</si>
  <si>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</si>
  <si>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</si>
  <si>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</si>
  <si>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</si>
  <si>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</si>
  <si>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</si>
  <si>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</si>
  <si>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</si>
  <si>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</si>
  <si>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</si>
  <si>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</si>
  <si>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</si>
  <si>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</si>
  <si>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</si>
  <si>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</si>
  <si>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</si>
  <si>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</si>
  <si>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</si>
  <si>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</si>
  <si>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</si>
  <si>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</si>
  <si>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</si>
  <si>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</si>
  <si>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</si>
  <si>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</si>
  <si>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</si>
  <si>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</si>
  <si>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</si>
  <si>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</si>
  <si>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</si>
  <si>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</si>
  <si>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</si>
  <si>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</si>
  <si>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</si>
  <si>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</si>
  <si>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</si>
  <si>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</si>
  <si>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</si>
  <si>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</si>
  <si>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</si>
  <si>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</si>
  <si>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</si>
  <si>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</si>
  <si>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</si>
  <si>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</si>
  <si>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</si>
  <si>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</si>
  <si>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</si>
  <si>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</si>
  <si>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</si>
  <si>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</si>
  <si>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</si>
  <si>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</si>
  <si>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</si>
  <si>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</si>
  <si>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</si>
  <si>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</si>
  <si>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</si>
  <si>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</si>
  <si>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</si>
  <si>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</si>
  <si>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</si>
  <si>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</si>
  <si>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</si>
  <si>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</si>
  <si>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</si>
  <si>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</si>
  <si>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</si>
  <si>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</si>
  <si>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</si>
  <si>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</si>
  <si>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</si>
  <si>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</si>
  <si>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</si>
  <si>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</si>
  <si>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</si>
  <si>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</si>
  <si>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</si>
  <si>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</si>
  <si>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</si>
  <si>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</si>
  <si>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</si>
  <si>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</si>
  <si>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</si>
  <si>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</si>
  <si>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</si>
  <si>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</si>
  <si>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</si>
  <si>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</si>
  <si>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</si>
  <si>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</si>
  <si>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</si>
  <si>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</si>
  <si>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</si>
  <si>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</si>
  <si>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</si>
  <si>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</si>
  <si>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</si>
  <si>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</si>
  <si>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</si>
  <si>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</si>
  <si>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</si>
  <si>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</si>
  <si>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</si>
  <si>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</si>
  <si>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</si>
  <si>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</si>
  <si>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</si>
  <si>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</si>
  <si>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</si>
  <si>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</si>
  <si>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</si>
  <si>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</si>
  <si>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</si>
  <si>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</si>
  <si>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</si>
  <si>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</si>
  <si>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</si>
  <si>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</si>
  <si>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</si>
  <si>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</si>
  <si>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</si>
  <si>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</si>
  <si>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</si>
  <si>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</si>
  <si>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</si>
  <si>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</si>
  <si>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</si>
  <si>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</si>
  <si>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</si>
  <si>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</si>
  <si>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</si>
  <si>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</si>
  <si>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</si>
  <si>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</si>
  <si>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</si>
  <si>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</si>
  <si>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</si>
  <si>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</si>
  <si>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</si>
  <si>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</si>
  <si>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</si>
  <si>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</si>
  <si>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</si>
  <si>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</si>
  <si>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</si>
  <si>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</si>
  <si>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</si>
  <si>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</si>
  <si>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</si>
  <si>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</si>
  <si>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</si>
  <si>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</si>
  <si>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</si>
  <si>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</si>
  <si>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</si>
  <si>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</si>
  <si>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</si>
  <si>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</si>
  <si>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</si>
  <si>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</si>
  <si>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</si>
  <si>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</si>
  <si>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</si>
  <si>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</si>
  <si>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</si>
  <si>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</si>
  <si>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</si>
  <si>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</si>
  <si>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</si>
  <si>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</si>
  <si>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</si>
  <si>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</si>
  <si>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</si>
  <si>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</si>
  <si>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</si>
  <si>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</si>
  <si>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</si>
  <si>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</si>
  <si>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</si>
  <si>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</si>
  <si>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</si>
  <si>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</si>
  <si>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</si>
  <si>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</si>
  <si>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</si>
  <si>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</si>
  <si>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</si>
  <si>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</si>
  <si>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</si>
  <si>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</si>
  <si>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</si>
  <si>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</si>
  <si>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</si>
  <si>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</si>
  <si>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</si>
  <si>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</si>
  <si>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</si>
  <si>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</si>
  <si>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</si>
  <si>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</si>
  <si>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</si>
  <si>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</si>
  <si>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</si>
  <si>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</si>
  <si>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</si>
  <si>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</si>
  <si>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</si>
  <si>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</si>
  <si>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</si>
  <si>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</si>
  <si>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</si>
  <si>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</si>
  <si>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</si>
  <si>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</si>
  <si>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</si>
  <si>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</si>
  <si>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</si>
  <si>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</si>
  <si>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</si>
  <si>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</si>
  <si>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</si>
  <si>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</si>
  <si>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</si>
  <si>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</si>
  <si>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</si>
  <si>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</si>
  <si>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</si>
  <si>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</si>
  <si>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</si>
  <si>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</si>
  <si>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</si>
  <si>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</si>
  <si>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</si>
  <si>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</si>
  <si>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</si>
  <si>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</si>
  <si>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</si>
  <si>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</si>
  <si>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</si>
  <si>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</si>
  <si>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</si>
  <si>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</si>
  <si>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</si>
  <si>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</si>
  <si>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</si>
  <si>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</si>
  <si>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</si>
  <si>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</si>
  <si>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</si>
  <si>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</si>
  <si>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</si>
  <si>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</si>
  <si>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</si>
  <si>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</si>
  <si>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</si>
  <si>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</si>
  <si>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</si>
  <si>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</si>
  <si>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</si>
  <si>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</si>
  <si>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</si>
  <si>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</si>
  <si>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</si>
  <si>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</si>
  <si>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</si>
  <si>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</si>
  <si>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</si>
  <si>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</si>
  <si>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</si>
  <si>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</si>
  <si>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</si>
  <si>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</si>
  <si>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</si>
  <si>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</si>
  <si>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</si>
  <si>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</si>
  <si>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</si>
  <si>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</si>
  <si>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</si>
  <si>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</si>
  <si>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</si>
  <si>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</si>
  <si>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</si>
  <si>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</si>
  <si>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</si>
  <si>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</si>
  <si>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</si>
  <si>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</si>
  <si>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</si>
  <si>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</si>
  <si>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</si>
  <si>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</si>
  <si>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</si>
  <si>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</si>
  <si>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</si>
  <si>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</si>
  <si>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</si>
  <si>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</si>
  <si>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</si>
  <si>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</si>
  <si>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</si>
  <si>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</si>
  <si>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</si>
  <si>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</si>
  <si>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</si>
  <si>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</si>
  <si>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</si>
  <si>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</si>
  <si>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</si>
  <si>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</si>
  <si>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</si>
  <si>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</si>
  <si>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</si>
  <si>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</si>
  <si>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</si>
  <si>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</si>
  <si>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</si>
  <si>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</si>
  <si>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</si>
  <si>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</si>
  <si>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</si>
  <si>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</si>
  <si>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</si>
  <si>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</si>
  <si>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</si>
  <si>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</si>
  <si>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</si>
  <si>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</si>
  <si>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</si>
  <si>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</si>
  <si>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</si>
  <si>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</si>
  <si>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</si>
  <si>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</si>
  <si>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</si>
  <si>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</si>
  <si>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</si>
  <si>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</si>
  <si>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</si>
  <si>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</si>
  <si>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</si>
  <si>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</si>
  <si>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</si>
  <si>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</si>
  <si>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</si>
  <si>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</si>
  <si>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</si>
  <si>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</si>
  <si>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</si>
  <si>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</si>
  <si>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</si>
  <si>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</si>
  <si>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</si>
  <si>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</si>
  <si>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</si>
  <si>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</si>
  <si>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</si>
  <si>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</si>
  <si>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</si>
  <si>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</si>
  <si>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</si>
  <si>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</si>
  <si>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</si>
  <si>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</si>
  <si>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</si>
  <si>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</si>
  <si>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</si>
  <si>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</si>
  <si>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</si>
  <si>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</si>
  <si>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</si>
  <si>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</si>
  <si>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</si>
  <si>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</si>
  <si>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</si>
  <si>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</si>
  <si>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</si>
  <si>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</si>
  <si>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</si>
  <si>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</si>
  <si>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</si>
  <si>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</si>
  <si>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</si>
  <si>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</si>
  <si>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</si>
  <si>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</si>
  <si>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</si>
  <si>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</si>
  <si>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</si>
  <si>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</si>
  <si>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</si>
  <si>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</si>
  <si>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</si>
  <si>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</si>
  <si>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</si>
  <si>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</si>
  <si>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</si>
  <si>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</si>
  <si>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</si>
  <si>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</si>
  <si>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</si>
  <si>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</si>
  <si>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</si>
  <si>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</si>
  <si>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</si>
  <si>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</si>
  <si>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</si>
  <si>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</si>
  <si>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</si>
  <si>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</si>
  <si>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</si>
  <si>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</si>
  <si>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</si>
  <si>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</si>
  <si>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</si>
  <si>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</si>
  <si>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</si>
  <si>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</si>
  <si>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</si>
  <si>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</si>
  <si>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</si>
  <si>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</si>
  <si>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</si>
  <si>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</si>
  <si>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</si>
  <si>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</si>
  <si>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</si>
  <si>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</si>
  <si>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</si>
  <si>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</si>
  <si>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</si>
  <si>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</si>
  <si>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</si>
  <si>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</si>
  <si>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</si>
  <si>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</si>
  <si>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</si>
  <si>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</si>
  <si>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</si>
  <si>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</si>
  <si>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</si>
  <si>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</si>
  <si>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</si>
  <si>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</si>
  <si>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</si>
  <si>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</si>
  <si>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</si>
  <si>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</si>
  <si>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</si>
  <si>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</si>
  <si>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</si>
  <si>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</si>
  <si>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</si>
  <si>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</si>
  <si>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</si>
  <si>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</si>
  <si>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</si>
  <si>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</si>
  <si>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</si>
  <si>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</si>
  <si>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</si>
  <si>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</si>
  <si>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</si>
  <si>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</si>
  <si>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</si>
  <si>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</si>
  <si>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</si>
  <si>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</si>
  <si>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</si>
  <si>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</si>
  <si>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</si>
  <si>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</si>
  <si>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</si>
  <si>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</si>
  <si>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</si>
  <si>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</si>
  <si>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</si>
  <si>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</si>
  <si>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</si>
  <si>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</si>
  <si>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</si>
  <si>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</si>
  <si>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</si>
  <si>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</si>
  <si>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</si>
  <si>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</si>
  <si>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</si>
  <si>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</si>
  <si>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</si>
  <si>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</si>
  <si>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</si>
  <si>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</si>
  <si>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</si>
  <si>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</si>
  <si>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</si>
  <si>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</si>
  <si>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</si>
  <si>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</si>
  <si>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</si>
  <si>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</si>
  <si>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</si>
  <si>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</si>
  <si>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</si>
  <si>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</si>
  <si>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</si>
  <si>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</si>
  <si>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</si>
  <si>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</si>
  <si>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</si>
  <si>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</si>
  <si>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</si>
  <si>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</si>
  <si>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</si>
  <si>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</si>
  <si>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</si>
  <si>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</si>
  <si>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</si>
  <si>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</si>
  <si>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</si>
  <si>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</si>
  <si>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</si>
  <si>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</si>
  <si>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</si>
  <si>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</si>
  <si>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</si>
  <si>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</si>
  <si>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</si>
  <si>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</si>
  <si>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</si>
  <si>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</si>
  <si>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</si>
  <si>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</si>
  <si>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</si>
  <si>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</si>
  <si>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</si>
  <si>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</si>
  <si>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</si>
  <si>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</si>
  <si>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</si>
  <si>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</si>
  <si>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</si>
  <si>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</si>
  <si>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</si>
  <si>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</si>
  <si>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</si>
  <si>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</si>
  <si>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</si>
  <si>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</si>
  <si>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</si>
  <si>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</si>
  <si>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</si>
  <si>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</si>
  <si>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</si>
  <si>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</si>
  <si>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</si>
  <si>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</si>
  <si>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</si>
  <si>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</si>
  <si>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</si>
  <si>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</si>
  <si>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</si>
  <si>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</si>
  <si>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</si>
  <si>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</si>
  <si>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</si>
  <si>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</si>
  <si>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</si>
  <si>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</si>
  <si>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</si>
  <si>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</si>
  <si>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</si>
  <si>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</si>
  <si>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</si>
  <si>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</si>
  <si>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</si>
  <si>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</si>
  <si>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</si>
  <si>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</si>
  <si>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</si>
  <si>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</si>
  <si>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</si>
  <si>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</si>
  <si>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</si>
  <si>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</si>
  <si>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</si>
  <si>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</si>
  <si>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</si>
  <si>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</si>
  <si>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</si>
  <si>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</si>
  <si>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</si>
  <si>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</si>
  <si>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</si>
  <si>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</si>
  <si>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</si>
  <si>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</si>
  <si>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</si>
  <si>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</si>
  <si>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</si>
  <si>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</si>
  <si>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</si>
  <si>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</si>
  <si>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</si>
  <si>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</si>
  <si>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</si>
  <si>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</si>
  <si>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</si>
  <si>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</si>
  <si>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</si>
  <si>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</si>
  <si>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</si>
  <si>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</si>
  <si>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</si>
  <si>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</si>
  <si>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</si>
  <si>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</si>
  <si>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</si>
  <si>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</si>
  <si>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</si>
  <si>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</si>
  <si>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</si>
  <si>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</si>
  <si>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</si>
  <si>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</si>
  <si>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</si>
  <si>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</si>
  <si>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</si>
  <si>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</si>
  <si>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</si>
  <si>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</si>
  <si>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</si>
  <si>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</si>
  <si>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</si>
  <si>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</si>
  <si>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</si>
  <si>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</si>
  <si>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</si>
  <si>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</si>
  <si>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</si>
  <si>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</si>
  <si>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</si>
  <si>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</si>
  <si>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</si>
  <si>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</si>
  <si>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</si>
  <si>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</si>
  <si>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</si>
  <si>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</si>
  <si>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</si>
  <si>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</si>
  <si>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</si>
  <si>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</si>
  <si>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</si>
  <si>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</si>
  <si>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</si>
  <si>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</si>
  <si>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</si>
  <si>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</si>
  <si>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</si>
  <si>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</si>
  <si>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</si>
  <si>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</si>
  <si>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</si>
  <si>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</si>
  <si>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</si>
  <si>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</si>
  <si>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</si>
  <si>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</si>
  <si>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</si>
  <si>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</si>
  <si>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</si>
  <si>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</si>
  <si>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</si>
  <si>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</si>
  <si>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</si>
  <si>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</si>
  <si>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</si>
  <si>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</si>
  <si>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</si>
  <si>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</si>
  <si>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</si>
  <si>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</si>
  <si>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</si>
  <si>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</si>
  <si>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</si>
  <si>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</si>
  <si>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</si>
  <si>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</si>
  <si>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</si>
  <si>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</si>
  <si>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</si>
  <si>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</si>
  <si>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</si>
  <si>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</si>
  <si>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</si>
  <si>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</si>
  <si>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</si>
  <si>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</si>
  <si>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</si>
  <si>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</si>
  <si>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</si>
  <si>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</si>
  <si>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</si>
  <si>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</si>
  <si>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</si>
  <si>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</si>
  <si>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</si>
  <si>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</si>
  <si>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</si>
  <si>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</si>
  <si>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</si>
  <si>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</si>
  <si>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</si>
  <si>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</si>
  <si>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</si>
  <si>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</si>
  <si>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</si>
  <si>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</si>
  <si>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</si>
  <si>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</si>
  <si>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</si>
  <si>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</si>
  <si>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</si>
  <si>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</si>
  <si>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</si>
  <si>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</si>
  <si>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</si>
  <si>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</si>
  <si>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</si>
  <si>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</si>
  <si>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</si>
  <si>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</si>
  <si>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</si>
  <si>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</si>
  <si>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</si>
  <si>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</si>
  <si>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</si>
  <si>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</si>
  <si>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</si>
  <si>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</si>
  <si>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</si>
  <si>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</si>
  <si>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</si>
  <si>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</si>
  <si>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</si>
  <si>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</si>
  <si>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</si>
  <si>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</si>
  <si>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</si>
  <si>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</si>
  <si>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</si>
  <si>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</si>
  <si>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</si>
  <si>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</si>
  <si>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</si>
  <si>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</si>
  <si>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</si>
  <si>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</si>
  <si>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</si>
  <si>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</si>
  <si>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</si>
  <si>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</si>
  <si>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</si>
  <si>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</si>
  <si>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</si>
  <si>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</si>
  <si>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</si>
  <si>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</si>
  <si>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</si>
  <si>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</si>
  <si>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</si>
  <si>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</si>
  <si>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</si>
  <si>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</si>
  <si>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</si>
  <si>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</si>
  <si>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</si>
  <si>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</si>
  <si>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</si>
  <si>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</si>
  <si>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</si>
  <si>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</si>
  <si>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</si>
  <si>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</si>
  <si>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</si>
  <si>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</si>
  <si>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</si>
  <si>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</si>
  <si>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</si>
  <si>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</si>
  <si>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</si>
  <si>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</si>
  <si>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</si>
  <si>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</si>
  <si>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</si>
  <si>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</si>
  <si>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</si>
  <si>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</si>
  <si>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</si>
  <si>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</si>
  <si>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</si>
  <si>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</si>
  <si>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</si>
  <si>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</si>
  <si>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</si>
  <si>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</si>
  <si>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</si>
  <si>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</si>
  <si>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</si>
  <si>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</si>
  <si>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</si>
  <si>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</si>
  <si>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</si>
  <si>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</si>
  <si>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</si>
  <si>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</si>
  <si>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</si>
  <si>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</si>
  <si>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</si>
  <si>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</si>
  <si>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</si>
  <si>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</si>
  <si>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</si>
  <si>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</si>
  <si>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</si>
  <si>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</si>
  <si>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</si>
  <si>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</si>
  <si>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</si>
  <si>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</si>
  <si>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</si>
  <si>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</si>
  <si>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</si>
  <si>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</si>
  <si>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</si>
  <si>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</si>
  <si>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</si>
  <si>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</si>
  <si>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</si>
  <si>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</si>
  <si>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</si>
  <si>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</si>
  <si>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</si>
  <si>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</si>
  <si>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</si>
  <si>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</si>
  <si>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</si>
  <si>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</si>
  <si>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</si>
  <si>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</si>
  <si>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</si>
  <si>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</si>
  <si>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</si>
  <si>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</si>
  <si>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</si>
  <si>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</si>
  <si>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</si>
  <si>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</si>
  <si>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</si>
  <si>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</si>
  <si>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</si>
  <si>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</si>
  <si>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</si>
  <si>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</si>
  <si>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</si>
  <si>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</si>
  <si>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</si>
  <si>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</si>
  <si>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</si>
  <si>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</si>
  <si>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</si>
  <si>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</si>
  <si>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</si>
  <si>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</si>
  <si>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</si>
  <si>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</si>
  <si>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</si>
  <si>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</si>
  <si>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</si>
  <si>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</si>
  <si>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</si>
  <si>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</si>
  <si>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</si>
  <si>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</si>
  <si>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</si>
  <si>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</si>
  <si>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</si>
  <si>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</si>
  <si>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</si>
  <si>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</si>
  <si>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</si>
  <si>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</si>
  <si>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</si>
  <si>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</si>
  <si>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</si>
  <si>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</si>
  <si>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</si>
  <si>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</si>
  <si>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</si>
  <si>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</si>
  <si>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</si>
  <si>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</si>
  <si>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</si>
  <si>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</si>
  <si>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</si>
  <si>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</si>
  <si>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</si>
  <si>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</si>
  <si>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</si>
  <si>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</si>
  <si>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</si>
  <si>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</si>
  <si>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</si>
  <si>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</si>
  <si>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</si>
  <si>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</si>
  <si>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</si>
  <si>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</si>
  <si>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</si>
  <si>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</si>
  <si>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</si>
  <si>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</si>
  <si>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</si>
  <si>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</si>
  <si>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</si>
  <si>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</si>
  <si>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</si>
  <si>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</si>
  <si>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</si>
  <si>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</si>
  <si>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</si>
  <si>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</si>
  <si>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</si>
  <si>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</si>
  <si>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</si>
  <si>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</si>
  <si>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</si>
  <si>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</si>
  <si>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</si>
  <si>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</si>
  <si>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</si>
  <si>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</si>
  <si>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</si>
  <si>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</si>
  <si>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</si>
  <si>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</si>
  <si>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</si>
  <si>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</si>
  <si>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</si>
  <si>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</si>
  <si>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</si>
  <si>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</si>
  <si>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</si>
  <si>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</si>
  <si>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</si>
  <si>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</si>
  <si>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</si>
  <si>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</si>
  <si>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</si>
  <si>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</si>
  <si>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</si>
  <si>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</si>
  <si>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</si>
  <si>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</si>
  <si>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</si>
  <si>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</si>
  <si>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</si>
  <si>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</si>
  <si>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</si>
  <si>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</si>
  <si>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</si>
  <si>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</si>
  <si>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</si>
  <si>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</si>
  <si>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</si>
  <si>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</si>
  <si>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</si>
  <si>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</si>
  <si>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</si>
  <si>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</si>
  <si>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</si>
  <si>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</si>
  <si>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</si>
  <si>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</si>
  <si>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</si>
  <si>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</si>
  <si>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</si>
  <si>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</si>
  <si>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</si>
  <si>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</si>
  <si>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</si>
  <si>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</si>
  <si>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</si>
  <si>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</si>
  <si>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</si>
  <si>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</si>
  <si>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</si>
  <si>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</si>
  <si>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</si>
  <si>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</si>
  <si>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</si>
  <si>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</si>
  <si>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</si>
  <si>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</si>
  <si>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</si>
  <si>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</si>
  <si>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</si>
  <si>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</si>
  <si>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</si>
  <si>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</si>
  <si>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</si>
  <si>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</si>
  <si>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</si>
  <si>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</si>
  <si>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</si>
  <si>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</si>
  <si>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</si>
  <si>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</si>
  <si>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</si>
  <si>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</si>
  <si>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</si>
  <si>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</si>
  <si>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</si>
  <si>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</si>
  <si>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</si>
  <si>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</si>
  <si>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</si>
  <si>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</si>
  <si>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</si>
  <si>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</si>
  <si>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</si>
  <si>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</si>
  <si>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</si>
  <si>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</si>
  <si>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</si>
  <si>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</si>
  <si>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</si>
  <si>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</si>
  <si>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</si>
  <si>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</si>
  <si>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</si>
  <si>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</si>
  <si>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</si>
  <si>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</si>
  <si>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</si>
  <si>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</si>
  <si>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</si>
  <si>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</si>
  <si>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</si>
  <si>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</si>
  <si>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</si>
  <si>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</si>
  <si>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</si>
  <si>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</si>
  <si>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</si>
  <si>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</si>
  <si>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</si>
  <si>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</si>
  <si>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</si>
  <si>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</si>
  <si>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</si>
  <si>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</si>
  <si>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</si>
  <si>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</si>
  <si>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</si>
  <si>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</si>
  <si>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</si>
  <si>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</si>
  <si>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</si>
  <si>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</si>
  <si>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</si>
  <si>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</si>
  <si>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</si>
  <si>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</si>
  <si>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</si>
  <si>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</si>
  <si>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</si>
  <si>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</si>
  <si>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</si>
  <si>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</si>
  <si>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</si>
  <si>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</si>
  <si>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</si>
  <si>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</si>
  <si>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</si>
  <si>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</si>
  <si>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</si>
  <si>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</si>
  <si>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</si>
  <si>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</si>
  <si>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</si>
  <si>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</si>
  <si>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</si>
  <si>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</si>
  <si>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</si>
  <si>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</si>
  <si>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</si>
  <si>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</si>
  <si>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</si>
  <si>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</si>
  <si>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</si>
  <si>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</si>
  <si>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</si>
  <si>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</si>
  <si>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</si>
  <si>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</si>
  <si>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</si>
  <si>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</si>
  <si>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</si>
  <si>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</si>
  <si>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</si>
  <si>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</si>
  <si>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</si>
  <si>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</si>
  <si>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</si>
  <si>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</si>
  <si>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</si>
  <si>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</si>
  <si>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</si>
  <si>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</si>
  <si>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</si>
  <si>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</si>
  <si>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</si>
  <si>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</si>
  <si>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</si>
  <si>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</si>
  <si>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</si>
  <si>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</si>
  <si>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</si>
  <si>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</si>
  <si>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</si>
  <si>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</si>
  <si>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</si>
  <si>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</si>
  <si>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</si>
  <si>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</si>
  <si>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</si>
  <si>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</si>
  <si>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</si>
  <si>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</si>
  <si>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</si>
  <si>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</si>
  <si>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</si>
  <si>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</si>
  <si>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</si>
  <si>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</si>
  <si>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</si>
  <si>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</si>
  <si>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</si>
  <si>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</si>
  <si>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</si>
  <si>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</si>
  <si>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</si>
  <si>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</si>
  <si>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</si>
  <si>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</si>
  <si>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</si>
  <si>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</si>
  <si>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</si>
  <si>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</si>
  <si>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</si>
  <si>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</si>
  <si>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</si>
  <si>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</si>
  <si>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</si>
  <si>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</si>
  <si>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</si>
  <si>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</si>
  <si>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</si>
  <si>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</si>
  <si>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</si>
  <si>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</si>
  <si>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</si>
  <si>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</si>
  <si>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</si>
  <si>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</si>
  <si>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</si>
  <si>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</si>
  <si>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</si>
  <si>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</si>
  <si>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</si>
  <si>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</si>
  <si>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</si>
  <si>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</si>
  <si>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</si>
  <si>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</si>
  <si>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</si>
  <si>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</si>
  <si>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</si>
  <si>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</si>
  <si>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</si>
  <si>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</si>
  <si>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</si>
  <si>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</si>
  <si>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</si>
  <si>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</si>
  <si>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</si>
  <si>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</si>
  <si>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</si>
  <si>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</si>
  <si>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</si>
  <si>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</si>
  <si>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</si>
  <si>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</si>
  <si>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</si>
  <si>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</si>
  <si>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</si>
  <si>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</si>
  <si>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</si>
  <si>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</si>
  <si>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</si>
  <si>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</si>
  <si>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</si>
  <si>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</si>
  <si>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</si>
  <si>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</si>
  <si>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</si>
  <si>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</si>
  <si>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</si>
  <si>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</si>
  <si>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</si>
  <si>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</si>
  <si>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</si>
  <si>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</si>
  <si>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</si>
  <si>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</si>
  <si>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</si>
  <si>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</si>
  <si>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</si>
  <si>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</si>
  <si>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</si>
  <si>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</si>
  <si>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</si>
  <si>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</si>
  <si>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</si>
  <si>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</si>
  <si>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</si>
  <si>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</si>
  <si>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</si>
  <si>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</si>
  <si>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</si>
  <si>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</si>
  <si>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</si>
  <si>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</si>
  <si>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</si>
  <si>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</si>
  <si>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</si>
  <si>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</si>
  <si>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</si>
  <si>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</si>
  <si>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</si>
  <si>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</si>
  <si>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</si>
  <si>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</si>
  <si>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</si>
  <si>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</si>
  <si>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</si>
  <si>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</si>
  <si>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</si>
  <si>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</si>
  <si>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</si>
  <si>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</si>
  <si>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</si>
  <si>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</si>
  <si>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</si>
  <si>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</si>
  <si>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</si>
  <si>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</si>
  <si>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</si>
  <si>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</si>
  <si>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</si>
  <si>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</si>
  <si>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</si>
  <si>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</si>
  <si>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</si>
  <si>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</si>
  <si>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</si>
  <si>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</si>
  <si>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</si>
  <si>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</si>
  <si>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</si>
  <si>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</si>
  <si>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</si>
  <si>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</si>
  <si>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</si>
  <si>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</si>
  <si>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</si>
  <si>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</si>
  <si>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</si>
  <si>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</si>
  <si>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</si>
  <si>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</si>
  <si>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</si>
  <si>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</si>
  <si>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</si>
  <si>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</si>
  <si>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</si>
  <si>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</si>
  <si>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</si>
  <si>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</si>
  <si>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</si>
  <si>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</si>
  <si>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</si>
  <si>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</si>
  <si>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</si>
  <si>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</si>
  <si>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</si>
  <si>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</si>
  <si>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</si>
  <si>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</si>
  <si>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</si>
  <si>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</si>
  <si>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</si>
  <si>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</si>
  <si>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</si>
  <si>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</si>
  <si>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</si>
  <si>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</si>
  <si>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</si>
  <si>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</si>
  <si>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</si>
  <si>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</si>
  <si>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</si>
  <si>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</si>
  <si>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</si>
  <si>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</si>
  <si>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</si>
  <si>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</si>
  <si>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</si>
  <si>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</si>
  <si>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</si>
  <si>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</si>
  <si>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</si>
  <si>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</si>
  <si>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</si>
  <si>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</si>
  <si>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</si>
  <si>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</si>
  <si>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</si>
  <si>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</si>
  <si>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</si>
  <si>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</si>
  <si>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</si>
  <si>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</si>
  <si>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</si>
  <si>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</si>
  <si>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</si>
  <si>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</si>
  <si>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</si>
  <si>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</si>
  <si>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</si>
  <si>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</si>
  <si>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</si>
  <si>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</si>
  <si>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</si>
  <si>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</si>
  <si>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</si>
  <si>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</si>
  <si>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</si>
  <si>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</si>
  <si>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</si>
  <si>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</si>
  <si>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</si>
  <si>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</si>
  <si>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</si>
  <si>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</si>
  <si>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</si>
  <si>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</si>
  <si>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</si>
  <si>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</si>
  <si>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</si>
  <si>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</si>
  <si>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</si>
  <si>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</si>
  <si>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</si>
  <si>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</si>
  <si>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</si>
  <si>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</si>
  <si>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</si>
  <si>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</si>
  <si>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</si>
  <si>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</si>
  <si>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</si>
  <si>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</si>
  <si>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</si>
  <si>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</si>
  <si>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</si>
  <si>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</si>
  <si>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</si>
  <si>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</si>
  <si>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</si>
  <si>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</si>
  <si>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</si>
  <si>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</si>
  <si>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</si>
  <si>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</si>
  <si>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</si>
  <si>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</si>
  <si>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</si>
  <si>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</si>
  <si>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</si>
  <si>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</si>
  <si>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</si>
  <si>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</si>
  <si>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</si>
  <si>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</si>
  <si>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</si>
  <si>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</si>
  <si>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</si>
  <si>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</si>
  <si>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</si>
  <si>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</si>
  <si>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</si>
  <si>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</si>
  <si>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</si>
  <si>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</si>
  <si>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</si>
  <si>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</si>
  <si>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</si>
  <si>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</si>
  <si>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</si>
  <si>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</si>
  <si>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</si>
  <si>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</si>
  <si>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</si>
  <si>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</si>
  <si>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</si>
  <si>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</si>
  <si>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</si>
  <si>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</si>
  <si>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</si>
  <si>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</si>
  <si>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</si>
  <si>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</si>
  <si>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</si>
  <si>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</si>
  <si>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</si>
  <si>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</si>
  <si>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</si>
  <si>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</si>
  <si>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</si>
  <si>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</si>
  <si>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</si>
  <si>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</si>
  <si>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</si>
  <si>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</si>
  <si>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</si>
  <si>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</si>
  <si>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</si>
  <si>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</si>
  <si>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</si>
  <si>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</si>
  <si>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</si>
  <si>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</si>
  <si>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</si>
  <si>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</si>
  <si>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</si>
  <si>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</si>
  <si>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</si>
  <si>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</si>
  <si>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</si>
  <si>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</si>
  <si>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</si>
  <si>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</si>
  <si>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</si>
  <si>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</si>
  <si>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</si>
  <si>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</si>
  <si>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</si>
  <si>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</si>
  <si>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</si>
  <si>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</si>
  <si>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</si>
  <si>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</si>
  <si>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</si>
  <si>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</si>
  <si>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</si>
  <si>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</si>
  <si>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</si>
  <si>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</si>
  <si>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</si>
  <si>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</si>
  <si>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</si>
  <si>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</si>
  <si>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</si>
  <si>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</si>
  <si>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</si>
  <si>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</si>
  <si>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</si>
  <si>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</si>
  <si>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</si>
  <si>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</si>
  <si>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</si>
  <si>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</si>
  <si>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</si>
  <si>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</si>
  <si>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</si>
  <si>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</si>
  <si>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</si>
  <si>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</si>
  <si>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</si>
  <si>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</si>
  <si>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</si>
  <si>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</si>
  <si>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</si>
  <si>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</si>
  <si>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</si>
  <si>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</si>
  <si>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</si>
  <si>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</si>
  <si>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</si>
  <si>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</si>
  <si>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</si>
  <si>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</si>
  <si>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</si>
  <si>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</si>
  <si>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</si>
  <si>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</si>
  <si>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</si>
  <si>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</si>
  <si>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</si>
  <si>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</si>
  <si>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</si>
  <si>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</si>
  <si>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</si>
  <si>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</si>
  <si>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</si>
  <si>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</si>
  <si>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</si>
  <si>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</si>
  <si>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</si>
  <si>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</si>
  <si>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</si>
  <si>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</si>
  <si>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</si>
  <si>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</si>
  <si>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</si>
  <si>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</si>
  <si>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</si>
  <si>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</si>
  <si>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</si>
  <si>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</si>
  <si>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</si>
  <si>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</si>
  <si>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</si>
  <si>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</si>
  <si>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</si>
  <si>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</si>
  <si>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</si>
  <si>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</si>
  <si>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</si>
  <si>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</si>
  <si>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</si>
  <si>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</si>
  <si>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</si>
  <si>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</si>
  <si>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</si>
  <si>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</si>
  <si>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</si>
  <si>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</si>
  <si>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</si>
  <si>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</si>
  <si>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</si>
  <si>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</si>
  <si>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</si>
  <si>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</si>
  <si>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</si>
  <si>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</si>
  <si>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</si>
  <si>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</si>
  <si>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</si>
  <si>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</si>
  <si>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</si>
  <si>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</si>
  <si>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</si>
  <si>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</si>
  <si>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</si>
  <si>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</si>
  <si>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</si>
  <si>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</si>
  <si>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</si>
  <si>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</si>
  <si>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</si>
  <si>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</si>
  <si>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</si>
  <si>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</si>
  <si>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</si>
  <si>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</si>
  <si>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</si>
  <si>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</si>
  <si>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</si>
  <si>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</si>
  <si>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</si>
  <si>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</si>
  <si>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</si>
  <si>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</si>
  <si>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</si>
  <si>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</si>
  <si>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</si>
  <si>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</si>
  <si>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</si>
  <si>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</si>
  <si>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</si>
  <si>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</si>
  <si>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</si>
  <si>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</si>
  <si>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</si>
  <si>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</si>
  <si>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</si>
  <si>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</si>
  <si>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</si>
  <si>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</si>
  <si>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</si>
  <si>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</si>
  <si>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</si>
  <si>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</si>
  <si>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</si>
  <si>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</si>
  <si>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</si>
  <si>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</si>
  <si>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</si>
  <si>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</si>
  <si>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</si>
  <si>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</si>
  <si>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</si>
  <si>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</si>
  <si>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</si>
  <si>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</si>
  <si>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</si>
  <si>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</si>
  <si>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</si>
  <si>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</si>
  <si>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</si>
  <si>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</si>
  <si>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</si>
  <si>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</si>
  <si>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</si>
  <si>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</si>
  <si>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</si>
  <si>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</si>
  <si>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</si>
  <si>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</si>
  <si>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</si>
  <si>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</si>
  <si>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</si>
  <si>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</si>
  <si>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</si>
  <si>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</si>
  <si>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</si>
  <si>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</si>
  <si>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</si>
  <si>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</si>
  <si>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</si>
  <si>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</si>
  <si>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</si>
  <si>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</si>
  <si>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</si>
  <si>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</si>
  <si>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</si>
  <si>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</si>
  <si>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</si>
  <si>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</si>
  <si>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</si>
  <si>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</si>
  <si>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</si>
  <si>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</si>
  <si>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</si>
  <si>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</si>
  <si>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</si>
  <si>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</si>
  <si>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</si>
  <si>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</si>
  <si>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</si>
  <si>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</si>
  <si>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</si>
  <si>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</si>
  <si>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</si>
  <si>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</si>
  <si>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</si>
  <si>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</si>
  <si>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</si>
  <si>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</si>
  <si>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</si>
  <si>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</si>
  <si>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</si>
  <si>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</si>
  <si>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</si>
  <si>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</si>
  <si>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</si>
  <si>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</si>
  <si>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</si>
  <si>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</si>
  <si>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</si>
  <si>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</si>
  <si>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</si>
  <si>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</si>
  <si>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</si>
  <si>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</si>
  <si>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</si>
  <si>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</si>
  <si>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</si>
  <si>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</si>
  <si>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</si>
  <si>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</si>
  <si>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</si>
  <si>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</si>
  <si>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</si>
  <si>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</si>
  <si>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</si>
  <si>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</si>
  <si>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</si>
  <si>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</si>
  <si>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</si>
  <si>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</si>
  <si>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</si>
  <si>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</si>
  <si>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</si>
  <si>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</si>
  <si>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</si>
  <si>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</si>
  <si>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</si>
  <si>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</si>
  <si>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</si>
  <si>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</si>
  <si>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</si>
  <si>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</si>
  <si>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</si>
  <si>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</si>
  <si>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</si>
  <si>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</si>
  <si>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</si>
  <si>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</si>
  <si>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</si>
  <si>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</si>
  <si>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</si>
  <si>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</si>
  <si>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</si>
  <si>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</si>
  <si>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</si>
  <si>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</si>
  <si>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</si>
  <si>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</si>
  <si>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</si>
  <si>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</si>
  <si>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</si>
  <si>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</si>
  <si>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</si>
  <si>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</si>
  <si>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</si>
  <si>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</si>
  <si>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</si>
  <si>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</si>
  <si>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</si>
  <si>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</si>
  <si>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</si>
  <si>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</si>
  <si>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</si>
  <si>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</si>
  <si>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</si>
  <si>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</si>
  <si>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</si>
  <si>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</si>
  <si>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</si>
  <si>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</si>
  <si>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</si>
  <si>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</si>
  <si>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</si>
  <si>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</si>
  <si>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</si>
  <si>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</si>
  <si>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</si>
  <si>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</si>
  <si>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</si>
  <si>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</si>
  <si>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</si>
  <si>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</si>
  <si>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</si>
  <si>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</si>
  <si>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</si>
  <si>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</si>
  <si>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</si>
  <si>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</si>
  <si>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</si>
  <si>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</si>
  <si>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</si>
  <si>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</si>
  <si>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</si>
  <si>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</si>
  <si>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</si>
  <si>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</si>
  <si>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</si>
  <si>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</si>
  <si>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</si>
  <si>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</si>
  <si>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</si>
  <si>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</si>
  <si>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</si>
  <si>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</si>
  <si>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</si>
  <si>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</si>
  <si>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</si>
  <si>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</si>
  <si>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</si>
  <si>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</si>
  <si>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</si>
  <si>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</si>
  <si>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</si>
  <si>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</si>
  <si>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</si>
  <si>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</si>
  <si>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</si>
  <si>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</si>
  <si>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</si>
  <si>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</si>
  <si>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</si>
  <si>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</si>
  <si>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</si>
  <si>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</si>
  <si>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</si>
  <si>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</si>
  <si>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</si>
  <si>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</si>
  <si>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</si>
  <si>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</si>
  <si>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</si>
  <si>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</si>
  <si>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</si>
  <si>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</si>
  <si>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</si>
  <si>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</si>
  <si>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</si>
  <si>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</si>
  <si>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</si>
  <si>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</si>
  <si>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</si>
  <si>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</si>
  <si>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</si>
  <si>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</si>
  <si>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</si>
  <si>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</si>
  <si>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</si>
  <si>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</si>
  <si>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</si>
  <si>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</si>
  <si>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</si>
  <si>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</si>
  <si>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</si>
  <si>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</si>
  <si>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</si>
  <si>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</si>
  <si>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</si>
  <si>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</si>
  <si>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</si>
  <si>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</si>
  <si>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</si>
  <si>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</si>
  <si>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</si>
  <si>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</si>
  <si>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</si>
  <si>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</si>
  <si>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</si>
  <si>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</si>
  <si>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</si>
  <si>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</si>
  <si>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</si>
  <si>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</si>
  <si>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</si>
  <si>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</si>
  <si>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</si>
  <si>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</si>
  <si>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</si>
  <si>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</si>
  <si>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</si>
  <si>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</si>
  <si>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</si>
  <si>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</si>
  <si>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</si>
  <si>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</si>
  <si>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</si>
  <si>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</si>
  <si>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</si>
  <si>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</si>
  <si>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</si>
  <si>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</si>
  <si>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</si>
  <si>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</si>
  <si>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</si>
  <si>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</si>
  <si>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</si>
  <si>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</si>
  <si>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</si>
  <si>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</si>
  <si>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</si>
  <si>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</si>
  <si>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</si>
  <si>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</si>
  <si>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</si>
  <si>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</si>
  <si>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</si>
  <si>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</si>
  <si>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</si>
  <si>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</si>
  <si>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</si>
  <si>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</si>
  <si>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</si>
  <si>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</si>
  <si>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</si>
  <si>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</si>
  <si>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</si>
  <si>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</si>
  <si>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</si>
  <si>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</si>
  <si>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</si>
  <si>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</si>
  <si>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</si>
  <si>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</si>
  <si>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</si>
  <si>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</si>
  <si>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</si>
  <si>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</si>
  <si>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</si>
  <si>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</si>
  <si>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</si>
  <si>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</si>
  <si>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</si>
  <si>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</si>
  <si>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</si>
  <si>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</si>
  <si>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</si>
  <si>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</si>
  <si>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</si>
  <si>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</si>
  <si>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</si>
  <si>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</si>
  <si>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</si>
  <si>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</si>
  <si>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</si>
  <si>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</si>
  <si>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</si>
  <si>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</si>
  <si>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</si>
  <si>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</si>
  <si>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</si>
  <si>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</si>
  <si>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</si>
  <si>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</si>
  <si>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</si>
  <si>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</si>
  <si>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</si>
  <si>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</si>
  <si>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</si>
  <si>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</si>
  <si>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</si>
  <si>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</si>
  <si>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</si>
  <si>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</si>
  <si>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</si>
  <si>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</si>
  <si>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</si>
  <si>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</si>
  <si>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</si>
  <si>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</si>
  <si>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</si>
  <si>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</si>
  <si>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</si>
  <si>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</si>
  <si>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</si>
  <si>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</si>
  <si>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</si>
  <si>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</si>
  <si>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</si>
  <si>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</si>
  <si>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</si>
  <si>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</si>
  <si>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</si>
  <si>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</si>
  <si>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</si>
  <si>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</si>
  <si>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</si>
  <si>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</si>
  <si>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</si>
  <si>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</si>
  <si>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</si>
  <si>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</si>
  <si>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</si>
  <si>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</si>
  <si>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</si>
  <si>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</si>
  <si>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</si>
  <si>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</si>
  <si>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</si>
  <si>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</si>
  <si>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</si>
  <si>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</si>
  <si>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</si>
  <si>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</si>
  <si>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</si>
  <si>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</si>
  <si>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</si>
  <si>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</si>
  <si>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</si>
  <si>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</si>
  <si>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</si>
  <si>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</si>
  <si>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</si>
  <si>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</si>
  <si>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</si>
  <si>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</si>
  <si>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</si>
  <si>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</si>
  <si>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</si>
  <si>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</si>
  <si>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</si>
  <si>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</si>
  <si>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</si>
  <si>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</si>
  <si>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</si>
  <si>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</si>
  <si>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</si>
  <si>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</si>
  <si>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</si>
  <si>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</si>
  <si>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</si>
  <si>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</si>
  <si>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</si>
  <si>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</si>
  <si>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</si>
  <si>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</si>
  <si>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</si>
  <si>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</si>
  <si>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</si>
  <si>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</si>
  <si>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</si>
  <si>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</si>
  <si>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</si>
  <si>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</si>
  <si>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</si>
  <si>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</si>
  <si>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</si>
  <si>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</si>
  <si>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</si>
  <si>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</si>
  <si>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</si>
  <si>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</si>
  <si>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</si>
  <si>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</si>
  <si>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</si>
  <si>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</si>
  <si>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</si>
  <si>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</si>
  <si>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</si>
  <si>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</si>
  <si>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</si>
  <si>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</si>
  <si>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</si>
  <si>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</si>
  <si>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</si>
  <si>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</si>
  <si>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</si>
  <si>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</si>
  <si>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</si>
  <si>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</si>
  <si>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</si>
  <si>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</si>
  <si>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</si>
  <si>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</si>
  <si>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</si>
  <si>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</si>
  <si>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</si>
  <si>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</si>
  <si>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</si>
  <si>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</si>
  <si>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</si>
  <si>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</si>
  <si>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</si>
  <si>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</si>
  <si>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</si>
  <si>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</si>
  <si>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</si>
  <si>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</si>
  <si>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</si>
  <si>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</si>
  <si>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</si>
  <si>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</si>
  <si>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</si>
  <si>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</si>
  <si>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</si>
  <si>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</si>
  <si>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</si>
  <si>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</si>
  <si>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</si>
  <si>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</si>
  <si>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</si>
  <si>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</si>
  <si>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</si>
  <si>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</si>
  <si>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</si>
  <si>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</si>
  <si>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</si>
  <si>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</si>
  <si>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</si>
  <si>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</si>
  <si>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</si>
  <si>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</si>
  <si>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</si>
  <si>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</si>
  <si>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</si>
  <si>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</si>
  <si>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</si>
  <si>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</si>
  <si>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</si>
  <si>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</si>
  <si>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</si>
  <si>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</si>
  <si>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</si>
  <si>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</si>
  <si>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</si>
  <si>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</si>
  <si>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</si>
  <si>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</si>
  <si>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</si>
  <si>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</si>
  <si>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</si>
  <si>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</si>
  <si>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</si>
  <si>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</si>
  <si>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</si>
  <si>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</si>
  <si>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</si>
  <si>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</si>
  <si>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</si>
  <si>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</si>
  <si>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</si>
  <si>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</si>
  <si>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</si>
  <si>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</si>
  <si>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</si>
  <si>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</si>
  <si>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</si>
  <si>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</si>
  <si>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</si>
  <si>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</si>
  <si>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</si>
  <si>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</si>
  <si>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</si>
  <si>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</si>
  <si>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</si>
  <si>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</si>
  <si>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</si>
  <si>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</si>
  <si>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</si>
  <si>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</si>
  <si>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</si>
  <si>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</si>
  <si>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</si>
  <si>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</si>
  <si>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</si>
  <si>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</si>
  <si>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</si>
  <si>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</si>
  <si>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</si>
  <si>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</si>
  <si>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</si>
  <si>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</si>
  <si>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</si>
  <si>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</si>
  <si>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</si>
  <si>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</si>
  <si>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</si>
  <si>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</si>
  <si>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</si>
  <si>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</si>
  <si>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</si>
  <si>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</si>
  <si>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</si>
  <si>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</si>
  <si>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</si>
  <si>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</si>
  <si>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</si>
  <si>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</si>
  <si>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</si>
  <si>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</si>
  <si>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</si>
  <si>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</si>
  <si>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</si>
  <si>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</si>
  <si>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</si>
  <si>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</si>
  <si>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</si>
  <si>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</si>
  <si>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</si>
  <si>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</si>
  <si>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</si>
  <si>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</si>
  <si>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</si>
  <si>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</si>
  <si>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</si>
  <si>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</si>
  <si>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</si>
  <si>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</si>
  <si>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</si>
  <si>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</si>
  <si>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</si>
  <si>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</si>
  <si>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</si>
  <si>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</si>
  <si>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</si>
  <si>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</si>
  <si>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</si>
  <si>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</si>
  <si>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</si>
  <si>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</si>
  <si>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</si>
  <si>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</si>
  <si>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</si>
  <si>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</si>
  <si>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</si>
  <si>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</si>
  <si>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</si>
  <si>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</si>
  <si>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</si>
  <si>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</si>
  <si>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</si>
  <si>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</si>
  <si>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</si>
  <si>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</si>
  <si>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</si>
  <si>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</si>
  <si>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</si>
  <si>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</si>
  <si>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</si>
  <si>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</si>
  <si>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</si>
  <si>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</si>
  <si>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</si>
  <si>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</si>
  <si>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</si>
  <si>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</si>
  <si>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</si>
  <si>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</si>
  <si>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</si>
  <si>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</si>
  <si>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</si>
  <si>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</si>
  <si>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</si>
  <si>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</si>
  <si>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</si>
  <si>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</si>
  <si>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</si>
  <si>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</si>
  <si>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</si>
  <si>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</si>
  <si>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</si>
  <si>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</si>
  <si>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</si>
  <si>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</si>
  <si>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</si>
  <si>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</si>
  <si>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</si>
  <si>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</si>
  <si>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</si>
  <si>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</si>
  <si>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</si>
  <si>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</si>
  <si>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</si>
  <si>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</si>
  <si>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</si>
  <si>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</si>
  <si>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</si>
  <si>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</si>
  <si>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</si>
  <si>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</si>
  <si>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</si>
  <si>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</si>
  <si>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</si>
  <si>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</si>
  <si>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</si>
  <si>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</si>
  <si>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</si>
  <si>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</si>
  <si>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</si>
  <si>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</si>
  <si>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</si>
  <si>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</si>
  <si>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</si>
  <si>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</si>
  <si>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</si>
  <si>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</si>
  <si>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</si>
  <si>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</si>
  <si>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</si>
  <si>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</si>
  <si>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</si>
  <si>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</si>
  <si>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</si>
  <si>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</si>
  <si>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</si>
  <si>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</si>
  <si>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</si>
  <si>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</si>
  <si>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</si>
  <si>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</si>
  <si>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</si>
  <si>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</si>
  <si>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</si>
  <si>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</si>
  <si>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</si>
  <si>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</si>
  <si>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</si>
  <si>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</si>
  <si>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</si>
  <si>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</si>
  <si>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</si>
  <si>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</si>
  <si>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</si>
  <si>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</si>
  <si>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</si>
  <si>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</si>
  <si>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</si>
  <si>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</si>
  <si>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</si>
  <si>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</si>
  <si>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</si>
  <si>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</si>
  <si>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</si>
  <si>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</si>
  <si>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</si>
  <si>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</si>
  <si>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</si>
  <si>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</si>
  <si>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</si>
  <si>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</si>
  <si>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</si>
  <si>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</si>
  <si>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</si>
  <si>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</si>
  <si>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</si>
  <si>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</si>
  <si>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</si>
  <si>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</si>
  <si>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</si>
  <si>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</si>
  <si>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</si>
  <si>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</si>
  <si>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</si>
  <si>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</si>
  <si>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</si>
  <si>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</si>
  <si>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</si>
  <si>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</si>
  <si>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</si>
  <si>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</si>
  <si>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</si>
  <si>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</si>
  <si>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</si>
  <si>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</si>
  <si>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</si>
  <si>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</si>
  <si>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</si>
  <si>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</si>
  <si>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</si>
  <si>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</si>
  <si>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</si>
  <si>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</si>
  <si>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</si>
  <si>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</si>
  <si>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</si>
  <si>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</si>
  <si>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</si>
  <si>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</si>
  <si>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</si>
  <si>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</si>
  <si>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</si>
  <si>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</si>
  <si>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</si>
  <si>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</si>
  <si>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</si>
  <si>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</si>
  <si>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</si>
  <si>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</si>
  <si>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</si>
  <si>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</si>
  <si>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</si>
  <si>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</si>
  <si>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</si>
  <si>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</si>
  <si>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</si>
  <si>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</si>
  <si>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</si>
  <si>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</si>
  <si>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</si>
  <si>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</si>
  <si>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</si>
  <si>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</si>
  <si>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</si>
  <si>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</si>
  <si>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</si>
  <si>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</si>
  <si>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</si>
  <si>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</si>
  <si>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</si>
  <si>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</si>
  <si>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</si>
  <si>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</si>
  <si>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</si>
  <si>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</si>
  <si>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</si>
  <si>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</si>
  <si>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</si>
  <si>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</si>
  <si>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</si>
  <si>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</si>
  <si>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</si>
  <si>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</si>
  <si>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</si>
  <si>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</si>
  <si>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</si>
  <si>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</si>
  <si>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</si>
  <si>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</si>
  <si>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</si>
  <si>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</si>
  <si>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</si>
  <si>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</si>
  <si>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</si>
  <si>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</si>
  <si>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</si>
  <si>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</si>
  <si>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</si>
  <si>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</si>
  <si>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</si>
  <si>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</si>
  <si>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</si>
  <si>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</si>
  <si>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</si>
  <si>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</si>
  <si>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</si>
  <si>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</si>
  <si>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</si>
  <si>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</si>
  <si>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</si>
  <si>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</si>
  <si>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</si>
  <si>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</si>
  <si>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</si>
  <si>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</si>
  <si>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</si>
  <si>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</si>
  <si>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</si>
  <si>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</si>
  <si>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</si>
  <si>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</si>
  <si>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</si>
  <si>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</si>
  <si>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</si>
  <si>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</si>
  <si>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</si>
  <si>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</si>
  <si>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</si>
  <si>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</si>
  <si>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</si>
  <si>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</si>
  <si>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</si>
  <si>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</si>
  <si>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</si>
  <si>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</si>
  <si>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</si>
  <si>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</si>
  <si>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</si>
  <si>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</si>
  <si>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</si>
  <si>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</si>
  <si>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</si>
  <si>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</si>
  <si>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</si>
  <si>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</si>
  <si>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</si>
  <si>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</si>
  <si>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</si>
  <si>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</si>
  <si>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</si>
  <si>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</si>
  <si>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</si>
  <si>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</si>
  <si>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</si>
  <si>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</si>
  <si>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</si>
  <si>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</si>
  <si>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</si>
  <si>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</si>
  <si>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</si>
  <si>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</si>
  <si>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</si>
  <si>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</si>
  <si>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</si>
  <si>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</si>
  <si>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</si>
  <si>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</si>
  <si>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</si>
  <si>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</si>
  <si>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</si>
  <si>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</si>
  <si>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</si>
  <si>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</si>
  <si>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</si>
  <si>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</si>
  <si>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</si>
  <si>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</si>
  <si>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</si>
  <si>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</si>
  <si>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</si>
  <si>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</si>
  <si>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</si>
  <si>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</si>
  <si>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</si>
  <si>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</si>
  <si>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</si>
  <si>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</si>
  <si>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</si>
  <si>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</si>
  <si>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</si>
  <si>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</si>
  <si>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</si>
  <si>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</si>
  <si>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</si>
  <si>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</si>
  <si>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</si>
  <si>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</si>
  <si>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</si>
  <si>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</si>
  <si>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</si>
  <si>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</si>
  <si>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</si>
  <si>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</si>
  <si>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</si>
  <si>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</si>
  <si>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</si>
  <si>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</si>
  <si>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</si>
  <si>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</si>
  <si>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</si>
  <si>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</si>
  <si>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</si>
  <si>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</si>
  <si>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</si>
  <si>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</si>
  <si>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</si>
  <si>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</si>
  <si>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</si>
  <si>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</si>
  <si>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</si>
  <si>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</si>
  <si>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</si>
  <si>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</si>
  <si>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</si>
  <si>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</si>
  <si>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</si>
  <si>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</si>
  <si>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</si>
  <si>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</si>
  <si>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</si>
  <si>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</si>
  <si>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</si>
  <si>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</si>
  <si>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</si>
  <si>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</si>
  <si>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</si>
  <si>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</si>
  <si>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</si>
  <si>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</si>
  <si>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</si>
  <si>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</si>
  <si>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</si>
  <si>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</si>
  <si>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</si>
  <si>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</si>
  <si>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</si>
  <si>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</si>
  <si>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</si>
  <si>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</si>
  <si>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</si>
  <si>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</si>
  <si>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</si>
  <si>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</si>
  <si>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</si>
  <si>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</si>
  <si>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</si>
  <si>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</si>
  <si>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</si>
  <si>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</si>
  <si>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</si>
  <si>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</si>
  <si>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</si>
  <si>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</si>
  <si>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</si>
  <si>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</si>
  <si>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</si>
  <si>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</si>
  <si>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</si>
  <si>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</si>
  <si>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</si>
  <si>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</si>
  <si>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</si>
  <si>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</si>
  <si>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</si>
  <si>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</si>
  <si>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</si>
  <si>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</si>
  <si>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</si>
  <si>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</si>
  <si>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</si>
  <si>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</si>
  <si>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</si>
  <si>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</si>
  <si>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</si>
  <si>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</si>
  <si>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</si>
  <si>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</si>
  <si>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</si>
  <si>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</si>
  <si>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</si>
  <si>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</si>
  <si>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</si>
  <si>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</si>
  <si>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</si>
  <si>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</si>
  <si>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</si>
  <si>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</si>
  <si>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</si>
  <si>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</si>
  <si>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</si>
  <si>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</si>
  <si>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</si>
  <si>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</si>
  <si>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</si>
  <si>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</si>
  <si>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</si>
  <si>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</si>
  <si>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</si>
  <si>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</si>
  <si>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</si>
  <si>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</si>
  <si>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</si>
  <si>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</si>
  <si>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</si>
  <si>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</si>
  <si>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</si>
  <si>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</si>
  <si>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</si>
  <si>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</si>
  <si>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</si>
  <si>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</si>
  <si>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</si>
  <si>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</si>
  <si>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</si>
  <si>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</si>
  <si>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</si>
  <si>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</si>
  <si>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</si>
  <si>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</si>
  <si>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</si>
  <si>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</si>
  <si>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</si>
  <si>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</si>
  <si>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</si>
  <si>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</si>
  <si>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</si>
  <si>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</si>
  <si>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</si>
  <si>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</si>
  <si>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</si>
  <si>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</si>
  <si>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</si>
  <si>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</si>
  <si>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</si>
  <si>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</si>
  <si>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</si>
  <si>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</si>
  <si>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</si>
  <si>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</si>
  <si>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</si>
  <si>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</si>
  <si>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</si>
  <si>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</si>
  <si>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</si>
  <si>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</si>
  <si>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</si>
  <si>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</si>
  <si>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</si>
  <si>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</si>
  <si>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</si>
  <si>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</si>
  <si>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</si>
  <si>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</si>
  <si>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</si>
  <si>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</si>
  <si>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</si>
  <si>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</si>
  <si>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</si>
  <si>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</si>
  <si>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</si>
  <si>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</si>
  <si>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</si>
  <si>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</si>
  <si>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</si>
  <si>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</si>
  <si>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</si>
  <si>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</si>
  <si>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</si>
  <si>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</si>
  <si>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</si>
  <si>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</si>
  <si>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</si>
  <si>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</si>
  <si>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</si>
  <si>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</si>
  <si>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</si>
  <si>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</si>
  <si>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</si>
  <si>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</si>
  <si>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</si>
  <si>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</si>
  <si>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</si>
  <si>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</si>
  <si>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</si>
  <si>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</si>
  <si>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</si>
  <si>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</si>
  <si>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</si>
  <si>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</si>
  <si>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</si>
  <si>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</si>
  <si>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</si>
  <si>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</si>
  <si>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</si>
  <si>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</si>
  <si>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</si>
  <si>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</si>
  <si>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</si>
  <si>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</si>
  <si>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</si>
  <si>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</si>
  <si>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</si>
  <si>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</si>
  <si>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</si>
  <si>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</si>
  <si>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</si>
  <si>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</si>
  <si>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</si>
  <si>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</si>
  <si>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</si>
  <si>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</si>
  <si>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</si>
  <si>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</si>
  <si>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</si>
  <si>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</si>
  <si>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</si>
  <si>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</si>
  <si>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</si>
  <si>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</si>
  <si>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</si>
  <si>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</si>
  <si>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</si>
  <si>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</si>
  <si>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</si>
  <si>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</si>
  <si>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</si>
  <si>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</si>
  <si>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</si>
  <si>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</si>
  <si>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</si>
  <si>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</si>
  <si>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</si>
  <si>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</si>
  <si>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</si>
  <si>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</si>
  <si>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</si>
  <si>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</si>
  <si>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</si>
  <si>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</si>
  <si>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</si>
  <si>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</si>
  <si>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</si>
  <si>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</si>
  <si>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</si>
  <si>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</si>
  <si>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</si>
  <si>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</si>
  <si>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</si>
  <si>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</si>
  <si>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</si>
  <si>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</si>
  <si>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</si>
  <si>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</si>
  <si>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</si>
  <si>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</si>
  <si>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</si>
  <si>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</si>
  <si>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</si>
  <si>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</si>
  <si>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</si>
  <si>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</si>
  <si>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</si>
  <si>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</si>
  <si>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</si>
  <si>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</si>
  <si>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</si>
  <si>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</si>
  <si>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</si>
  <si>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</si>
  <si>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</si>
  <si>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</si>
  <si>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</si>
  <si>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</si>
  <si>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</si>
  <si>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</si>
  <si>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</si>
  <si>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</si>
  <si>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</si>
  <si>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</si>
  <si>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</si>
  <si>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</si>
  <si>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</si>
  <si>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</si>
  <si>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</si>
  <si>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</si>
  <si>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</si>
  <si>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</si>
  <si>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</si>
  <si>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</si>
  <si>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</si>
  <si>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</si>
  <si>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</si>
  <si>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</si>
  <si>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</si>
  <si>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</si>
  <si>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</si>
  <si>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</si>
  <si>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</si>
  <si>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</si>
  <si>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</si>
  <si>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</si>
  <si>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</si>
  <si>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</si>
  <si>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</si>
  <si>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</si>
  <si>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</si>
  <si>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</si>
  <si>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</si>
  <si>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</si>
  <si>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</si>
  <si>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</si>
  <si>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</si>
  <si>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</si>
  <si>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</si>
  <si>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</si>
  <si>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</si>
  <si>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</si>
  <si>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</si>
  <si>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</si>
  <si>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</si>
  <si>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</si>
  <si>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</si>
  <si>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</si>
  <si>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</si>
  <si>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</si>
  <si>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</si>
  <si>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</si>
  <si>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</si>
  <si>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</si>
  <si>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</si>
  <si>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</si>
  <si>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</si>
  <si>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</si>
  <si>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</si>
  <si>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</si>
  <si>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</si>
  <si>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</si>
  <si>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</si>
  <si>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</si>
  <si>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</si>
  <si>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</si>
  <si>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</si>
  <si>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</si>
  <si>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</si>
  <si>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</si>
  <si>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</si>
  <si>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</si>
  <si>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</si>
  <si>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</si>
  <si>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</si>
  <si>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</si>
  <si>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</si>
  <si>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</si>
  <si>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</si>
  <si>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</si>
  <si>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</si>
  <si>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</si>
  <si>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</si>
  <si>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</si>
  <si>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</si>
  <si>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</si>
  <si>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</si>
  <si>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</si>
  <si>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</si>
  <si>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</si>
  <si>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</si>
  <si>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</si>
  <si>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</si>
  <si>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</si>
  <si>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</si>
  <si>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</si>
  <si>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</si>
  <si>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</si>
  <si>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</si>
  <si>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</si>
  <si>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</si>
  <si>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</si>
  <si>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</si>
  <si>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</si>
  <si>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</si>
  <si>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</si>
  <si>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</si>
  <si>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</si>
  <si>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</si>
  <si>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</si>
  <si>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</si>
  <si>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</si>
  <si>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</si>
  <si>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</si>
  <si>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</si>
  <si>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</si>
  <si>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</si>
  <si>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</si>
  <si>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</si>
  <si>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</si>
  <si>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</si>
  <si>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</si>
  <si>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</si>
  <si>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</si>
  <si>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</si>
  <si>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</si>
  <si>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</si>
  <si>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</si>
  <si>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</si>
  <si>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</si>
  <si>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</si>
  <si>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</si>
  <si>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</si>
  <si>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</si>
  <si>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</si>
  <si>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</si>
  <si>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</si>
  <si>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</si>
  <si>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</si>
  <si>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</si>
  <si>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</si>
  <si>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</si>
  <si>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</si>
  <si>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</si>
  <si>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</si>
  <si>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</si>
  <si>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</si>
  <si>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</si>
  <si>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</si>
  <si>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</si>
  <si>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</si>
  <si>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</si>
  <si>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</si>
  <si>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</si>
  <si>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</si>
  <si>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</si>
  <si>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</si>
  <si>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</si>
  <si>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</si>
  <si>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</si>
  <si>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</si>
  <si>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</si>
  <si>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</si>
  <si>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</si>
  <si>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</si>
  <si>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</si>
  <si>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</si>
  <si>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</si>
  <si>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</si>
  <si>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</si>
  <si>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</si>
  <si>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</si>
  <si>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</si>
  <si>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</si>
  <si>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</si>
  <si>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</si>
  <si>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</si>
  <si>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</si>
  <si>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</si>
  <si>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</si>
  <si>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</si>
  <si>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</si>
  <si>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</si>
  <si>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</si>
  <si>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</si>
  <si>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</si>
  <si>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</si>
  <si>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</si>
  <si>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</si>
  <si>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</si>
  <si>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</si>
  <si>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</si>
  <si>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</si>
  <si>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</si>
  <si>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</si>
  <si>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</si>
  <si>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</si>
  <si>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</si>
  <si>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Zimmerman Properties SE, LLC</t>
  </si>
  <si>
    <t>Vaughn Zimmerman</t>
  </si>
  <si>
    <t>Managing Member</t>
  </si>
  <si>
    <t>zpse@wilhoitproperties.com</t>
  </si>
  <si>
    <t>Robert Fink</t>
  </si>
  <si>
    <t>VP of Development -SE Region</t>
  </si>
  <si>
    <t>rfink@wilhoitproperties.com</t>
  </si>
  <si>
    <t>City Limits</t>
  </si>
  <si>
    <t>Amortizing</t>
  </si>
  <si>
    <t>Specialty Finance Group</t>
  </si>
  <si>
    <t>Truist Community Capital, LLC</t>
  </si>
  <si>
    <t>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to the end of the initial 15 year compliance period</t>
  </si>
  <si>
    <t>Truist Community Captial, LLC</t>
  </si>
  <si>
    <t>Truist Communtiy Capital, LLC</t>
  </si>
  <si>
    <t>Owner Paid Design Fees</t>
  </si>
  <si>
    <t>The applicant and its attorney believe that this expense considered to be a part of the construction costs of the proposed project and therefore should be considered as part of eligible basis.</t>
  </si>
  <si>
    <t xml:space="preserve"> The owner is hiring a designer for $10,000 to design the interior of public areas.</t>
  </si>
  <si>
    <t>Georgia Department of Community Affairs</t>
  </si>
  <si>
    <t>40% of Units at 60% of AMI</t>
  </si>
  <si>
    <t>N/a</t>
  </si>
  <si>
    <t>Other: FICA,WC,Bonus, etc.</t>
  </si>
  <si>
    <t>Other: Decorating</t>
  </si>
  <si>
    <t>HUD</t>
  </si>
  <si>
    <t>Purchase Contract</t>
  </si>
  <si>
    <t>Submitted</t>
  </si>
  <si>
    <t>-83.700482</t>
  </si>
  <si>
    <t>Above 50th</t>
  </si>
  <si>
    <t>Near Census Tract</t>
  </si>
  <si>
    <t>Lake Joy Primary School</t>
  </si>
  <si>
    <t>Lake Joy Elementary School</t>
  </si>
  <si>
    <t>Feagin Mill Middle School</t>
  </si>
  <si>
    <t>Houston County High School</t>
  </si>
  <si>
    <t>Flats at Lakeview</t>
  </si>
  <si>
    <t>2022-014</t>
  </si>
  <si>
    <t>Jack's Link's</t>
  </si>
  <si>
    <t>Perry GA</t>
  </si>
  <si>
    <t>720 Perry Parkway</t>
  </si>
  <si>
    <t>City of Warner Robins</t>
  </si>
  <si>
    <t>9% Credit Competitive Round only</t>
  </si>
  <si>
    <t>Applicant commits to 3rd Party Service Provider and intends to use Rainbow House</t>
  </si>
  <si>
    <t>2024QD053</t>
  </si>
  <si>
    <t>For Profit</t>
  </si>
  <si>
    <t>The applicant will be following the DCA-HUD Utility Allowance as presented above. The owner will be providing a range, microwave, refrigerator in every unit; therefore, the Utility Allowances for those items are not necessary.  Additional UA backup- support documentation saved in folder 52.</t>
  </si>
  <si>
    <t>Flats at Lake View II</t>
  </si>
  <si>
    <t>Flats at Lake View II is the master planned expansion for the existing Flats at Lake View (2022-014).  All amenities for the second phase will be included within the clubhouse space of  current phase one (which is under construction).  The applicant has included DCA’s prior approval of this concept with Folder 52.  If selected for an award, the applicant will submit the request again as a waiver, to confirm a current approval for this concept under the 2024 round.  As we understand waivers for Threshold will not be allowed to be submitted until after the Competitive Review submission.</t>
  </si>
  <si>
    <t xml:space="preserve">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t>
  </si>
  <si>
    <t>Phase Two was under contract prior to Phase One (2022-014) commencing construction.</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</si>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</sst>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130" fillId="5" borderId="75" xfId="37" quotePrefix="1" applyFont="1" applyFill="1" applyBorder="1" applyAlignment="1" applyProtection="1">
      <alignment horizontal="left" vertical="top" wrapText="1"/>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Flats at Lake View II</v>
      </c>
    </row>
    <row r="3" spans="1:6" ht="15" customHeight="1">
      <c r="A3" s="654" t="str">
        <f>CONCATENATE('Part I-Project Identification'!F27,", ", 'Part I-Project Identification'!J27," County")</f>
        <v>Warner Robins, Houston County</v>
      </c>
    </row>
    <row r="4" spans="1:6" ht="12" customHeight="1">
      <c r="A4" s="1062"/>
    </row>
    <row r="5" spans="1:6" ht="72" customHeight="1">
      <c r="A5" s="2907" t="s">
        <v>3973</v>
      </c>
      <c r="B5" s="2908" t="s">
        <v>3772</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dimension ref="A1:RY303"/>
  <sheetViews>
    <sheetView showGridLines="0" topLeftCell="A222"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Flats at Lake View II, Warner Robins, Houston County</v>
      </c>
      <c r="B2" s="3514"/>
      <c r="C2" s="3514"/>
      <c r="D2" s="3514"/>
      <c r="E2" s="3514"/>
      <c r="F2" s="3514"/>
      <c r="G2" s="3514"/>
      <c r="H2" s="3514"/>
      <c r="I2" s="3514"/>
      <c r="J2" s="3514"/>
      <c r="K2" s="3514"/>
      <c r="L2" s="3514"/>
      <c r="M2" s="3514"/>
      <c r="N2" s="3514"/>
      <c r="O2" s="3514"/>
      <c r="P2" s="3514"/>
      <c r="Q2" s="3515"/>
      <c r="T2" s="1363" t="str">
        <f>A2</f>
        <v>PART FOUR - PROJECTED REVENUES &amp; EXPENSES  -  2024-0 Flats at Lake View II, Warner Robins, Houston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Warner Robins</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Finish Row!</v>
      </c>
      <c r="B6" s="141" t="s">
        <v>3996</v>
      </c>
      <c r="D6" s="1430"/>
      <c r="E6" s="1430"/>
      <c r="F6" s="1430"/>
      <c r="G6" s="1152" t="s">
        <v>194</v>
      </c>
      <c r="H6" s="3526" t="s">
        <v>3998</v>
      </c>
      <c r="I6" s="3527"/>
      <c r="J6" s="3527"/>
      <c r="K6" s="674" t="s">
        <v>3051</v>
      </c>
      <c r="L6" s="3528" t="str">
        <f>'Part I-Project Identification'!$A$6</f>
        <v>2024 May 7</v>
      </c>
      <c r="M6" s="3528"/>
      <c r="N6" s="3528"/>
      <c r="O6" s="1629" t="s">
        <v>3978</v>
      </c>
      <c r="P6" s="1420">
        <v>91900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2644</v>
      </c>
      <c r="I7" s="3529" t="s">
        <v>3940</v>
      </c>
      <c r="J7" s="674" t="s">
        <v>741</v>
      </c>
      <c r="K7" s="674" t="s">
        <v>3098</v>
      </c>
      <c r="L7" s="3528"/>
      <c r="M7" s="3528"/>
      <c r="N7" s="3528"/>
      <c r="O7" s="1630" t="s">
        <v>3977</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t="s">
        <v>5151</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3218</v>
      </c>
      <c r="I9" s="3529"/>
      <c r="J9" s="3534" t="s">
        <v>3987</v>
      </c>
      <c r="K9" s="674" t="s">
        <v>2211</v>
      </c>
      <c r="L9" s="3536" t="s">
        <v>139</v>
      </c>
      <c r="M9" s="3537"/>
      <c r="N9" s="674" t="s">
        <v>2178</v>
      </c>
      <c r="O9" s="674" t="s">
        <v>4380</v>
      </c>
      <c r="P9" s="3538" t="s">
        <v>4142</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4833</v>
      </c>
      <c r="KD9" s="3455" t="s">
        <v>4833</v>
      </c>
      <c r="KE9" s="3455" t="s">
        <v>4833</v>
      </c>
      <c r="KF9" s="3455" t="s">
        <v>4833</v>
      </c>
      <c r="KG9" s="3455" t="s">
        <v>4833</v>
      </c>
      <c r="KH9" s="3455" t="s">
        <v>4834</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f t="shared" si="0"/>
        <v>1</v>
      </c>
      <c r="B13" s="1022" t="s">
        <v>290</v>
      </c>
      <c r="C13" s="132">
        <v>1</v>
      </c>
      <c r="D13" s="1661">
        <v>1</v>
      </c>
      <c r="E13" s="133">
        <v>2</v>
      </c>
      <c r="F13" s="133">
        <v>721</v>
      </c>
      <c r="G13" s="133"/>
      <c r="H13" s="133">
        <v>1175</v>
      </c>
      <c r="I13" s="133">
        <v>0</v>
      </c>
      <c r="J13" s="1366">
        <v>0</v>
      </c>
      <c r="K13" s="632"/>
      <c r="L13" s="460">
        <f t="shared" si="1"/>
        <v>1175</v>
      </c>
      <c r="M13" s="460">
        <f t="shared" si="2"/>
        <v>2350</v>
      </c>
      <c r="N13" s="683" t="s">
        <v>2644</v>
      </c>
      <c r="O13" s="1595" t="s">
        <v>4189</v>
      </c>
      <c r="P13" s="683" t="s">
        <v>2114</v>
      </c>
      <c r="Q13" s="134" t="s">
        <v>2644</v>
      </c>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2</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1442</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2</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2</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f t="shared" si="259"/>
        <v>2</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2</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f t="shared" si="0"/>
        <v>1</v>
      </c>
      <c r="B14" s="1022" t="s">
        <v>290</v>
      </c>
      <c r="C14" s="132">
        <v>2</v>
      </c>
      <c r="D14" s="1661">
        <v>2</v>
      </c>
      <c r="E14" s="133">
        <v>4</v>
      </c>
      <c r="F14" s="133">
        <v>969</v>
      </c>
      <c r="G14" s="133"/>
      <c r="H14" s="133">
        <v>1275</v>
      </c>
      <c r="I14" s="133">
        <v>0</v>
      </c>
      <c r="J14" s="1366">
        <v>0</v>
      </c>
      <c r="K14" s="632"/>
      <c r="L14" s="460">
        <f t="shared" si="1"/>
        <v>1275</v>
      </c>
      <c r="M14" s="460">
        <f t="shared" si="2"/>
        <v>5100</v>
      </c>
      <c r="N14" s="683" t="s">
        <v>2644</v>
      </c>
      <c r="O14" s="1595" t="s">
        <v>4189</v>
      </c>
      <c r="P14" s="683" t="s">
        <v>2114</v>
      </c>
      <c r="Q14" s="134" t="s">
        <v>2644</v>
      </c>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4</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3876</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4</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4</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f t="shared" si="260"/>
        <v>4</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4</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f t="shared" si="0"/>
        <v>1</v>
      </c>
      <c r="B15" s="1022" t="s">
        <v>290</v>
      </c>
      <c r="C15" s="132">
        <v>3</v>
      </c>
      <c r="D15" s="1661">
        <v>2</v>
      </c>
      <c r="E15" s="133">
        <v>2</v>
      </c>
      <c r="F15" s="133">
        <v>1200</v>
      </c>
      <c r="G15" s="133"/>
      <c r="H15" s="133">
        <v>1450</v>
      </c>
      <c r="I15" s="133">
        <v>0</v>
      </c>
      <c r="J15" s="1366">
        <v>0</v>
      </c>
      <c r="K15" s="632"/>
      <c r="L15" s="460">
        <f t="shared" si="1"/>
        <v>1450</v>
      </c>
      <c r="M15" s="460">
        <f t="shared" si="2"/>
        <v>2900</v>
      </c>
      <c r="N15" s="683" t="s">
        <v>2644</v>
      </c>
      <c r="O15" s="1595" t="s">
        <v>4189</v>
      </c>
      <c r="P15" s="683" t="s">
        <v>2114</v>
      </c>
      <c r="Q15" s="134" t="s">
        <v>2644</v>
      </c>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f t="shared" si="41"/>
        <v>2</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f t="shared" si="156"/>
        <v>2400</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f t="shared" si="176"/>
        <v>2</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f t="shared" si="216"/>
        <v>2</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f t="shared" si="261"/>
        <v>2</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2</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f t="shared" si="0"/>
        <v>1</v>
      </c>
      <c r="B16" s="1022" t="s">
        <v>290</v>
      </c>
      <c r="C16" s="132">
        <v>4</v>
      </c>
      <c r="D16" s="1661">
        <v>2</v>
      </c>
      <c r="E16" s="133">
        <v>1</v>
      </c>
      <c r="F16" s="133">
        <v>1383</v>
      </c>
      <c r="G16" s="133"/>
      <c r="H16" s="133">
        <v>1550</v>
      </c>
      <c r="I16" s="133">
        <v>0</v>
      </c>
      <c r="J16" s="1366">
        <v>0</v>
      </c>
      <c r="K16" s="632"/>
      <c r="L16" s="460">
        <f t="shared" si="1"/>
        <v>1550</v>
      </c>
      <c r="M16" s="460">
        <f t="shared" si="2"/>
        <v>1550</v>
      </c>
      <c r="N16" s="683" t="s">
        <v>2644</v>
      </c>
      <c r="O16" s="1595" t="s">
        <v>4189</v>
      </c>
      <c r="P16" s="683" t="s">
        <v>2114</v>
      </c>
      <c r="Q16" s="134" t="s">
        <v>2644</v>
      </c>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f t="shared" si="42"/>
        <v>1</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f t="shared" si="157"/>
        <v>1383</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f t="shared" si="177"/>
        <v>1</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f t="shared" si="217"/>
        <v>1</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f t="shared" si="262"/>
        <v>1</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1</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f t="shared" si="0"/>
        <v>1</v>
      </c>
      <c r="B18" s="1059">
        <v>50</v>
      </c>
      <c r="C18" s="1024">
        <v>1</v>
      </c>
      <c r="D18" s="1663">
        <v>1</v>
      </c>
      <c r="E18" s="1025">
        <v>4</v>
      </c>
      <c r="F18" s="1025">
        <v>721</v>
      </c>
      <c r="G18" s="1025">
        <v>862</v>
      </c>
      <c r="H18" s="1025">
        <f>715+J18</f>
        <v>818</v>
      </c>
      <c r="I18" s="1025"/>
      <c r="J18" s="1041">
        <f>IF(C18="",0,HLOOKUP(C18,'Part IV-Utility Allowances'!$I$11:$M$22,12))</f>
        <v>103</v>
      </c>
      <c r="K18" s="1042"/>
      <c r="L18" s="1043">
        <f t="shared" si="1"/>
        <v>715</v>
      </c>
      <c r="M18" s="1043">
        <f t="shared" si="2"/>
        <v>2860</v>
      </c>
      <c r="N18" s="1044" t="s">
        <v>2644</v>
      </c>
      <c r="O18" s="1597" t="s">
        <v>4189</v>
      </c>
      <c r="P18" s="1044" t="s">
        <v>2114</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4</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2884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4</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4</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4</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4</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 customHeight="1">
      <c r="A19" s="86">
        <f t="shared" si="0"/>
        <v>1</v>
      </c>
      <c r="B19" s="1060">
        <v>50</v>
      </c>
      <c r="C19" s="132">
        <v>2</v>
      </c>
      <c r="D19" s="1661">
        <v>2</v>
      </c>
      <c r="E19" s="133">
        <v>5</v>
      </c>
      <c r="F19" s="133">
        <v>969</v>
      </c>
      <c r="G19" s="133">
        <v>1035</v>
      </c>
      <c r="H19" s="133">
        <f>855+J19</f>
        <v>988</v>
      </c>
      <c r="I19" s="133"/>
      <c r="J19" s="743">
        <f>IF(C19="",0,HLOOKUP(C19,'Part IV-Utility Allowances'!$I$11:$M$22,12))</f>
        <v>133</v>
      </c>
      <c r="K19" s="632"/>
      <c r="L19" s="460">
        <f t="shared" si="1"/>
        <v>855</v>
      </c>
      <c r="M19" s="460">
        <f t="shared" si="2"/>
        <v>4275</v>
      </c>
      <c r="N19" s="683" t="s">
        <v>2644</v>
      </c>
      <c r="O19" s="1595" t="s">
        <v>4189</v>
      </c>
      <c r="P19" s="683" t="s">
        <v>2114</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5</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4845</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5</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5</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5</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5</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 customHeight="1">
      <c r="A20" s="86">
        <f t="shared" si="0"/>
        <v>1</v>
      </c>
      <c r="B20" s="1060">
        <v>50</v>
      </c>
      <c r="C20" s="132">
        <v>3</v>
      </c>
      <c r="D20" s="1661">
        <v>2</v>
      </c>
      <c r="E20" s="133">
        <v>4</v>
      </c>
      <c r="F20" s="133">
        <v>1200</v>
      </c>
      <c r="G20" s="133">
        <v>1195</v>
      </c>
      <c r="H20" s="133">
        <f>975+J20</f>
        <v>1140</v>
      </c>
      <c r="I20" s="133"/>
      <c r="J20" s="743">
        <f>IF(C20="",0,HLOOKUP(C20,'Part IV-Utility Allowances'!$I$11:$M$22,12))</f>
        <v>165</v>
      </c>
      <c r="K20" s="632"/>
      <c r="L20" s="460">
        <f t="shared" si="1"/>
        <v>975</v>
      </c>
      <c r="M20" s="460">
        <f t="shared" si="2"/>
        <v>3900</v>
      </c>
      <c r="N20" s="683" t="s">
        <v>2644</v>
      </c>
      <c r="O20" s="1595" t="s">
        <v>4189</v>
      </c>
      <c r="P20" s="683" t="s">
        <v>2114</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f t="shared" si="21"/>
        <v>4</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f t="shared" si="136"/>
        <v>4800</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4</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4</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4</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4</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 customHeight="1">
      <c r="A21" s="86">
        <f t="shared" si="0"/>
        <v>1</v>
      </c>
      <c r="B21" s="1060">
        <v>50</v>
      </c>
      <c r="C21" s="132">
        <v>4</v>
      </c>
      <c r="D21" s="1661">
        <v>2</v>
      </c>
      <c r="E21" s="133">
        <v>2</v>
      </c>
      <c r="F21" s="133">
        <v>1383</v>
      </c>
      <c r="G21" s="133">
        <v>1333</v>
      </c>
      <c r="H21" s="133">
        <f>1075+J21</f>
        <v>1275</v>
      </c>
      <c r="I21" s="133"/>
      <c r="J21" s="743">
        <f>IF(C21="",0,HLOOKUP(C21,'Part IV-Utility Allowances'!$I$11:$M$22,12))</f>
        <v>200</v>
      </c>
      <c r="K21" s="632"/>
      <c r="L21" s="460">
        <f t="shared" si="1"/>
        <v>1075</v>
      </c>
      <c r="M21" s="460">
        <f t="shared" si="2"/>
        <v>2150</v>
      </c>
      <c r="N21" s="683" t="s">
        <v>2644</v>
      </c>
      <c r="O21" s="1595" t="s">
        <v>4189</v>
      </c>
      <c r="P21" s="683" t="s">
        <v>2114</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f t="shared" si="22"/>
        <v>2</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f t="shared" si="137"/>
        <v>2766</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f t="shared" si="172"/>
        <v>2</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f t="shared" si="217"/>
        <v>2</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f t="shared" si="262"/>
        <v>2</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2</v>
      </c>
      <c r="MP21" s="1658">
        <f t="shared" si="328"/>
        <v>0</v>
      </c>
      <c r="MQ21" s="1658">
        <f t="shared" si="329"/>
        <v>0</v>
      </c>
      <c r="MR21" s="1658">
        <f t="shared" si="330"/>
        <v>0</v>
      </c>
      <c r="MS21" s="1658">
        <f t="shared" si="331"/>
        <v>0</v>
      </c>
      <c r="MT21" s="1658">
        <f t="shared" si="332"/>
        <v>0</v>
      </c>
      <c r="NP21" s="1631" t="s">
        <v>4313</v>
      </c>
      <c r="NQ21" s="2482">
        <v>21</v>
      </c>
    </row>
    <row r="22" spans="1:381" ht="13.9" customHeight="1">
      <c r="A22" s="86">
        <f t="shared" si="0"/>
        <v>1</v>
      </c>
      <c r="B22" s="1060">
        <v>60</v>
      </c>
      <c r="C22" s="132">
        <v>1</v>
      </c>
      <c r="D22" s="1661">
        <v>1</v>
      </c>
      <c r="E22" s="133">
        <v>12</v>
      </c>
      <c r="F22" s="133">
        <v>721</v>
      </c>
      <c r="G22" s="133">
        <v>1035</v>
      </c>
      <c r="H22" s="133">
        <f>850+J22</f>
        <v>953</v>
      </c>
      <c r="I22" s="133"/>
      <c r="J22" s="743">
        <f>IF(C22="",0,HLOOKUP(C22,'Part IV-Utility Allowances'!$I$11:$M$22,12))</f>
        <v>103</v>
      </c>
      <c r="K22" s="632"/>
      <c r="L22" s="460">
        <f t="shared" si="1"/>
        <v>850</v>
      </c>
      <c r="M22" s="460">
        <f t="shared" si="2"/>
        <v>10200</v>
      </c>
      <c r="N22" s="683" t="s">
        <v>2644</v>
      </c>
      <c r="O22" s="1595" t="s">
        <v>4189</v>
      </c>
      <c r="P22" s="683" t="s">
        <v>2114</v>
      </c>
      <c r="Q22" s="134" t="s">
        <v>2644</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f t="shared" si="14"/>
        <v>12</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f t="shared" si="129"/>
        <v>8652</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f t="shared" si="169"/>
        <v>12</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12</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f t="shared" si="259"/>
        <v>12</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12</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 customHeight="1">
      <c r="A23" s="86">
        <f t="shared" si="0"/>
        <v>1</v>
      </c>
      <c r="B23" s="1060">
        <v>60</v>
      </c>
      <c r="C23" s="132">
        <v>2</v>
      </c>
      <c r="D23" s="1661">
        <v>2</v>
      </c>
      <c r="E23" s="133">
        <v>18</v>
      </c>
      <c r="F23" s="133">
        <v>969</v>
      </c>
      <c r="G23" s="133">
        <v>1242</v>
      </c>
      <c r="H23" s="133">
        <f>1000+J23</f>
        <v>1133</v>
      </c>
      <c r="I23" s="133"/>
      <c r="J23" s="743">
        <f>IF(C23="",0,HLOOKUP(C23,'Part IV-Utility Allowances'!$I$11:$M$22,12))</f>
        <v>133</v>
      </c>
      <c r="K23" s="632"/>
      <c r="L23" s="460">
        <f t="shared" si="1"/>
        <v>1000</v>
      </c>
      <c r="M23" s="460">
        <f t="shared" si="2"/>
        <v>18000</v>
      </c>
      <c r="N23" s="683" t="s">
        <v>2644</v>
      </c>
      <c r="O23" s="1595" t="s">
        <v>4189</v>
      </c>
      <c r="P23" s="683" t="s">
        <v>2114</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18</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17442</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18</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18</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18</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18</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 customHeight="1">
      <c r="A24" s="86">
        <f t="shared" si="0"/>
        <v>1</v>
      </c>
      <c r="B24" s="1060">
        <v>60</v>
      </c>
      <c r="C24" s="132">
        <v>3</v>
      </c>
      <c r="D24" s="1661">
        <v>2</v>
      </c>
      <c r="E24" s="133">
        <v>12</v>
      </c>
      <c r="F24" s="133">
        <v>1200</v>
      </c>
      <c r="G24" s="133">
        <v>1434</v>
      </c>
      <c r="H24" s="133">
        <f>1100+J24</f>
        <v>1265</v>
      </c>
      <c r="I24" s="133"/>
      <c r="J24" s="743">
        <f>IF(C24="",0,HLOOKUP(C24,'Part IV-Utility Allowances'!$I$11:$M$22,12))</f>
        <v>165</v>
      </c>
      <c r="K24" s="632"/>
      <c r="L24" s="460">
        <f t="shared" si="1"/>
        <v>1100</v>
      </c>
      <c r="M24" s="460">
        <f t="shared" si="2"/>
        <v>13200</v>
      </c>
      <c r="N24" s="683" t="s">
        <v>2644</v>
      </c>
      <c r="O24" s="1595" t="s">
        <v>4189</v>
      </c>
      <c r="P24" s="683" t="s">
        <v>2114</v>
      </c>
      <c r="Q24" s="134" t="s">
        <v>2644</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f t="shared" si="16"/>
        <v>12</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f t="shared" si="131"/>
        <v>14400</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12</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12</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12</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12</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 customHeight="1">
      <c r="A25" s="86">
        <f t="shared" si="0"/>
        <v>1</v>
      </c>
      <c r="B25" s="1060">
        <v>60</v>
      </c>
      <c r="C25" s="132">
        <v>4</v>
      </c>
      <c r="D25" s="1661">
        <v>2</v>
      </c>
      <c r="E25" s="133">
        <v>6</v>
      </c>
      <c r="F25" s="133">
        <v>1383</v>
      </c>
      <c r="G25" s="133">
        <v>1600</v>
      </c>
      <c r="H25" s="133">
        <f>1200+J25</f>
        <v>1400</v>
      </c>
      <c r="I25" s="133"/>
      <c r="J25" s="743">
        <f>IF(C25="",0,HLOOKUP(C25,'Part IV-Utility Allowances'!$I$11:$M$22,12))</f>
        <v>200</v>
      </c>
      <c r="K25" s="632"/>
      <c r="L25" s="460">
        <f t="shared" si="1"/>
        <v>1200</v>
      </c>
      <c r="M25" s="460">
        <f t="shared" si="2"/>
        <v>7200</v>
      </c>
      <c r="N25" s="683" t="s">
        <v>2644</v>
      </c>
      <c r="O25" s="1595" t="s">
        <v>4189</v>
      </c>
      <c r="P25" s="683" t="s">
        <v>2114</v>
      </c>
      <c r="Q25" s="134" t="s">
        <v>2644</v>
      </c>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f t="shared" si="17"/>
        <v>6</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f t="shared" si="132"/>
        <v>8298</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f t="shared" si="172"/>
        <v>6</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f t="shared" si="217"/>
        <v>6</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f t="shared" si="262"/>
        <v>6</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6</v>
      </c>
      <c r="MP25" s="1658">
        <f t="shared" si="328"/>
        <v>0</v>
      </c>
      <c r="MQ25" s="1658">
        <f t="shared" si="329"/>
        <v>0</v>
      </c>
      <c r="MR25" s="1658">
        <f t="shared" si="330"/>
        <v>0</v>
      </c>
      <c r="MS25" s="1658">
        <f t="shared" si="331"/>
        <v>0</v>
      </c>
      <c r="MT25" s="1658">
        <f t="shared" si="332"/>
        <v>0</v>
      </c>
      <c r="NP25" s="1631" t="s">
        <v>4317</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12</v>
      </c>
      <c r="B49" s="3463" t="s">
        <v>3648</v>
      </c>
      <c r="C49" s="3464"/>
      <c r="D49" s="107" t="s">
        <v>953</v>
      </c>
      <c r="E49" s="1054">
        <f>SUM(E11:E48)</f>
        <v>72</v>
      </c>
      <c r="F49" s="1052">
        <f>(E11*F11+E12*F12+E13*F13+E14*F14+E15*F15+E16*F16+E17*F17+E18*F18+E19*F19+E20*F20+E21*F21+E22*F22+E23*F23+E24*F24+E25*F25+E26*F26+E27*F27+E28*F28+E29*F29+E30*F30+E31*F31+E32*F32+E33*F33+E34*F34+E35*F35+E36*F36+E37*F37+E38*F38+E39*F39+E40*F40+E41*F41+E42*F42+E43*F43+E44*F44+E45*F45+E46*F46+E47*F47+E48*F48)</f>
        <v>73188</v>
      </c>
      <c r="H49" s="3468" t="s">
        <v>3645</v>
      </c>
      <c r="I49" s="1055" t="s">
        <v>3646</v>
      </c>
      <c r="J49" s="1056" t="str">
        <f>IF(P67=0,"",IF(SUM(P58:P62)/P67&gt;=0.4,"Pass","Fail"))</f>
        <v>Pass</v>
      </c>
      <c r="K49" s="447"/>
      <c r="L49" s="687" t="s">
        <v>1223</v>
      </c>
      <c r="M49" s="94">
        <f>SUM(M11:M48)</f>
        <v>73685</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12</v>
      </c>
      <c r="AJ49" s="1659">
        <f t="shared" si="338"/>
        <v>18</v>
      </c>
      <c r="AK49" s="1659">
        <f t="shared" si="338"/>
        <v>12</v>
      </c>
      <c r="AL49" s="1659">
        <f t="shared" si="338"/>
        <v>6</v>
      </c>
      <c r="AM49" s="1659">
        <f>SUM(AM11:AM48)</f>
        <v>0</v>
      </c>
      <c r="AN49" s="1659">
        <f>SUM(AN11:AN48)</f>
        <v>4</v>
      </c>
      <c r="AO49" s="1659">
        <f>SUM(AO11:AO48)</f>
        <v>5</v>
      </c>
      <c r="AP49" s="1659">
        <f>SUM(AP11:AP48)</f>
        <v>4</v>
      </c>
      <c r="AQ49" s="1659">
        <f>SUM(AQ11:AQ48)</f>
        <v>2</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2</v>
      </c>
      <c r="BI49" s="1659">
        <f t="shared" si="338"/>
        <v>4</v>
      </c>
      <c r="BJ49" s="1659">
        <f t="shared" si="338"/>
        <v>2</v>
      </c>
      <c r="BK49" s="1659">
        <f t="shared" si="338"/>
        <v>1</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8652</v>
      </c>
      <c r="EU49" s="1659">
        <f t="shared" si="338"/>
        <v>17442</v>
      </c>
      <c r="EV49" s="1659">
        <f t="shared" si="338"/>
        <v>14400</v>
      </c>
      <c r="EW49" s="1659">
        <f t="shared" si="338"/>
        <v>8298</v>
      </c>
      <c r="EX49" s="1659">
        <f t="shared" si="338"/>
        <v>0</v>
      </c>
      <c r="EY49" s="1659">
        <f t="shared" si="338"/>
        <v>2884</v>
      </c>
      <c r="EZ49" s="1659">
        <f t="shared" si="338"/>
        <v>4845</v>
      </c>
      <c r="FA49" s="1659">
        <f t="shared" si="338"/>
        <v>4800</v>
      </c>
      <c r="FB49" s="1659">
        <f t="shared" ref="FB49:HW49" si="340">SUM(FB11:FB48)</f>
        <v>2766</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1442</v>
      </c>
      <c r="FT49" s="1659">
        <f t="shared" si="340"/>
        <v>3876</v>
      </c>
      <c r="FU49" s="1659">
        <f t="shared" si="340"/>
        <v>2400</v>
      </c>
      <c r="FV49" s="1659">
        <f t="shared" si="340"/>
        <v>1383</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16</v>
      </c>
      <c r="GI49" s="1659">
        <f t="shared" si="340"/>
        <v>23</v>
      </c>
      <c r="GJ49" s="1659">
        <f t="shared" si="340"/>
        <v>16</v>
      </c>
      <c r="GK49" s="1659">
        <f t="shared" si="340"/>
        <v>8</v>
      </c>
      <c r="GL49" s="1659">
        <f t="shared" si="340"/>
        <v>0</v>
      </c>
      <c r="GM49" s="1659">
        <f t="shared" si="340"/>
        <v>2</v>
      </c>
      <c r="GN49" s="1659">
        <f t="shared" si="340"/>
        <v>4</v>
      </c>
      <c r="GO49" s="1659">
        <f t="shared" si="340"/>
        <v>2</v>
      </c>
      <c r="GP49" s="1659">
        <f t="shared" si="340"/>
        <v>1</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18</v>
      </c>
      <c r="IB49" s="1659">
        <f t="shared" si="341"/>
        <v>27</v>
      </c>
      <c r="IC49" s="1659">
        <f t="shared" si="341"/>
        <v>18</v>
      </c>
      <c r="ID49" s="1659">
        <f t="shared" si="341"/>
        <v>9</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18</v>
      </c>
      <c r="JU49" s="1659">
        <f t="shared" si="341"/>
        <v>27</v>
      </c>
      <c r="JV49" s="1659">
        <f t="shared" si="341"/>
        <v>18</v>
      </c>
      <c r="JW49" s="1659">
        <f t="shared" si="341"/>
        <v>9</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18</v>
      </c>
      <c r="MM49" s="1659">
        <f t="shared" si="343"/>
        <v>27</v>
      </c>
      <c r="MN49" s="1659">
        <f t="shared" si="343"/>
        <v>18</v>
      </c>
      <c r="MO49" s="1659">
        <f t="shared" si="343"/>
        <v>9</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57.61904761904762</v>
      </c>
      <c r="C50" s="3471"/>
      <c r="D50" s="119" t="s">
        <v>3555</v>
      </c>
      <c r="E50" s="1051">
        <f>SUM(E18:E48)</f>
        <v>63</v>
      </c>
      <c r="F50" s="1053">
        <f>(E18*F18+E19*F19+E20*F20+E21*F21+E22*F22+E23*F23+E24*F24+E25*F25+E26*F26+E27*F27+E28*F28+E29*F29+E30*F30+E31*F31+E32*F32+E33*F33+E34*F34+E35*F35+E36*F36+E37*F37+E38*F38+E39*F39+E40*F40+E41*F41+E42*F42+E43*F43+E44*F44+E45*F45+E46*F46+E47*F47+E48*F48)</f>
        <v>64087</v>
      </c>
      <c r="H50" s="3469"/>
      <c r="I50" s="1057" t="s">
        <v>3647</v>
      </c>
      <c r="J50" s="1058" t="str">
        <f>IF(P67=0,"",IF(SUM(P59:P62)/P67&gt;=0.2,"Pass","Fail"))</f>
        <v>Pass</v>
      </c>
      <c r="K50" s="447"/>
      <c r="L50" s="107" t="s">
        <v>756</v>
      </c>
      <c r="M50" s="94">
        <f>M49*12</f>
        <v>884220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5" customHeight="1">
      <c r="A51" s="3472" t="s">
        <v>5026</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474" t="s">
        <v>5147</v>
      </c>
      <c r="P53" s="3475"/>
      <c r="S53" s="3542" t="str">
        <f>B53</f>
        <v>UNIT SUMMARY</v>
      </c>
      <c r="T53" s="3542"/>
      <c r="U53" s="3542"/>
      <c r="V53" s="3542"/>
      <c r="AY53" s="358"/>
      <c r="BD53" s="358"/>
      <c r="LO53" s="360"/>
      <c r="MD53" s="356"/>
      <c r="NQ53" s="2483">
        <v>53</v>
      </c>
    </row>
    <row r="54" spans="1:381" ht="14.25" customHeight="1">
      <c r="A54" s="10"/>
      <c r="B54" s="10"/>
      <c r="K54" s="144" t="s">
        <v>4539</v>
      </c>
      <c r="O54" s="3543" t="s">
        <v>5148</v>
      </c>
      <c r="P54" s="3544"/>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12</v>
      </c>
      <c r="M58" s="1069">
        <f>AJ49</f>
        <v>18</v>
      </c>
      <c r="N58" s="1069">
        <f>AK49</f>
        <v>12</v>
      </c>
      <c r="O58" s="1070">
        <f>AL49</f>
        <v>6</v>
      </c>
      <c r="P58" s="732">
        <f t="shared" si="344"/>
        <v>48</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4</v>
      </c>
      <c r="M59" s="1090">
        <f>AO49</f>
        <v>5</v>
      </c>
      <c r="N59" s="1090">
        <f>AP49</f>
        <v>4</v>
      </c>
      <c r="O59" s="1091">
        <f>AQ49</f>
        <v>2</v>
      </c>
      <c r="P59" s="465">
        <f t="shared" si="344"/>
        <v>15</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16</v>
      </c>
      <c r="M63" s="1033">
        <f>SUM(M56:M62)</f>
        <v>23</v>
      </c>
      <c r="N63" s="1033">
        <f>SUM(N56:N62)</f>
        <v>16</v>
      </c>
      <c r="O63" s="1033">
        <f>SUM(O56:O62)</f>
        <v>8</v>
      </c>
      <c r="P63" s="1033">
        <f t="shared" si="344"/>
        <v>63</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2</v>
      </c>
      <c r="M64" s="733">
        <f>BI49</f>
        <v>4</v>
      </c>
      <c r="N64" s="733">
        <f>BJ49</f>
        <v>2</v>
      </c>
      <c r="O64" s="733">
        <f>BK49</f>
        <v>1</v>
      </c>
      <c r="P64" s="733">
        <f t="shared" si="344"/>
        <v>9</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18</v>
      </c>
      <c r="M65" s="1040">
        <f>SUM(M63:M64)</f>
        <v>27</v>
      </c>
      <c r="N65" s="1040">
        <f>SUM(N63:N64)</f>
        <v>18</v>
      </c>
      <c r="O65" s="1040">
        <f>SUM(O63:O64)</f>
        <v>9</v>
      </c>
      <c r="P65" s="1040">
        <f t="shared" si="344"/>
        <v>72</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18</v>
      </c>
      <c r="M67" s="1032">
        <f>SUM(M65:M66)</f>
        <v>27</v>
      </c>
      <c r="N67" s="1032">
        <f>SUM(N65:N66)</f>
        <v>18</v>
      </c>
      <c r="O67" s="1032">
        <f>SUM(O65:O66)</f>
        <v>9</v>
      </c>
      <c r="P67" s="1032">
        <f t="shared" si="344"/>
        <v>72</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49">IF(OR(K58=0,K67=0),"",K58/K67)</f>
        <v/>
      </c>
      <c r="L76" s="1373">
        <f t="shared" si="349"/>
        <v>0.66666666666666663</v>
      </c>
      <c r="M76" s="1373">
        <f t="shared" si="349"/>
        <v>0.66666666666666663</v>
      </c>
      <c r="N76" s="1373">
        <f t="shared" si="349"/>
        <v>0.66666666666666663</v>
      </c>
      <c r="O76" s="1373">
        <f t="shared" si="349"/>
        <v>0.66666666666666663</v>
      </c>
      <c r="P76" s="1374">
        <f t="shared" si="349"/>
        <v>0.66666666666666663</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f>IF(OR(L58=0,P76="",L67=0),"",P76*L67)</f>
        <v>12</v>
      </c>
      <c r="M77" s="1424">
        <f>IF(OR(M58=0,P76="",M67=0),"",P76*M67)</f>
        <v>18</v>
      </c>
      <c r="N77" s="1424">
        <f>IF(OR(N58=0,P76="",N67=0),"",P76*N67)</f>
        <v>12</v>
      </c>
      <c r="O77" s="1424">
        <f>IF(OR(O58=0,P76="",O67=0),"",P76*O67)</f>
        <v>6</v>
      </c>
      <c r="P77" s="1425">
        <f>IF(OR(P76="",P67=0),"",P76*P67)</f>
        <v>48</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0">IF(OR(K77="",K58=0),"", K58-K77)</f>
        <v/>
      </c>
      <c r="L78" s="1426">
        <f t="shared" si="350"/>
        <v>0</v>
      </c>
      <c r="M78" s="1426">
        <f t="shared" si="350"/>
        <v>0</v>
      </c>
      <c r="N78" s="1426">
        <f t="shared" si="350"/>
        <v>0</v>
      </c>
      <c r="O78" s="1426">
        <f t="shared" si="350"/>
        <v>0</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f t="shared" si="351"/>
        <v>0.22222222222222221</v>
      </c>
      <c r="M79" s="1373">
        <f t="shared" si="351"/>
        <v>0.18518518518518517</v>
      </c>
      <c r="N79" s="1373">
        <f t="shared" si="351"/>
        <v>0.22222222222222221</v>
      </c>
      <c r="O79" s="1373">
        <f t="shared" si="351"/>
        <v>0.22222222222222221</v>
      </c>
      <c r="P79" s="1374">
        <f t="shared" si="351"/>
        <v>0.20833333333333334</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3.75</v>
      </c>
      <c r="M80" s="1424">
        <f>IF(OR(M59=0,P79="",M67=0),"",P79*M67)</f>
        <v>5.625</v>
      </c>
      <c r="N80" s="1424">
        <f>IF(OR(N59=0,P79="",N67=0),"",P79*N67)</f>
        <v>3.75</v>
      </c>
      <c r="O80" s="1424">
        <f>IF(OR(O59=0,P79="",O67=0),"",P79*O67)</f>
        <v>1.875</v>
      </c>
      <c r="P80" s="1425">
        <f>IF(OR(P79="",P67=0),"",P79*P67)</f>
        <v>15</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f t="shared" si="352"/>
        <v>0.25</v>
      </c>
      <c r="M81" s="1426">
        <f t="shared" si="352"/>
        <v>-0.625</v>
      </c>
      <c r="N81" s="1426">
        <f t="shared" si="352"/>
        <v>0.25</v>
      </c>
      <c r="O81" s="1426">
        <f t="shared" si="352"/>
        <v>0.125</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4828</v>
      </c>
      <c r="F113" s="1"/>
      <c r="G113" s="62"/>
      <c r="H113" s="81" t="s">
        <v>1341</v>
      </c>
      <c r="I113" s="29"/>
      <c r="J113" s="62"/>
      <c r="K113" s="1065">
        <f>GG49</f>
        <v>0</v>
      </c>
      <c r="L113" s="1066">
        <f>GH49</f>
        <v>16</v>
      </c>
      <c r="M113" s="1066">
        <f>GI49</f>
        <v>23</v>
      </c>
      <c r="N113" s="1066">
        <f>GJ49</f>
        <v>16</v>
      </c>
      <c r="O113" s="1067">
        <f>GK49</f>
        <v>8</v>
      </c>
      <c r="P113" s="736">
        <f t="shared" ref="P113:P123" si="361">SUM(K113:O113)</f>
        <v>63</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2</v>
      </c>
      <c r="M114" s="1072">
        <f>GN49</f>
        <v>4</v>
      </c>
      <c r="N114" s="1072">
        <f>GO49</f>
        <v>2</v>
      </c>
      <c r="O114" s="1073">
        <f>GP49</f>
        <v>1</v>
      </c>
      <c r="P114" s="733">
        <f t="shared" si="361"/>
        <v>9</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4835</v>
      </c>
      <c r="J115" s="2096">
        <f>IF($P$67=0,0,P115/$P$67)</f>
        <v>1</v>
      </c>
      <c r="K115" s="1034">
        <f>SUM(K113:K114)+GQ49</f>
        <v>0</v>
      </c>
      <c r="L115" s="1034">
        <f>SUM(L113:L114)+GR49</f>
        <v>18</v>
      </c>
      <c r="M115" s="1034">
        <f>SUM(M113:M114)+GS49</f>
        <v>27</v>
      </c>
      <c r="N115" s="1034">
        <f>SUM(N113:N114)+GT49</f>
        <v>18</v>
      </c>
      <c r="O115" s="1034">
        <f>SUM(O113:O114)+GU49</f>
        <v>9</v>
      </c>
      <c r="P115" s="1034">
        <f t="shared" si="361"/>
        <v>72</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4827</v>
      </c>
      <c r="D127" s="3457"/>
      <c r="E127" s="81" t="s">
        <v>4767</v>
      </c>
      <c r="F127" s="1"/>
      <c r="G127" s="147"/>
      <c r="H127" s="87"/>
      <c r="I127" s="62"/>
      <c r="J127" s="62"/>
      <c r="K127" s="2460"/>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4831</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2">SUM(K132:K139)</f>
        <v>0</v>
      </c>
      <c r="L131" s="1087">
        <f t="shared" si="362"/>
        <v>18</v>
      </c>
      <c r="M131" s="1087">
        <f t="shared" si="362"/>
        <v>27</v>
      </c>
      <c r="N131" s="1087">
        <f t="shared" si="362"/>
        <v>18</v>
      </c>
      <c r="O131" s="1088">
        <f t="shared" si="362"/>
        <v>9</v>
      </c>
      <c r="P131" s="1037">
        <f t="shared" si="362"/>
        <v>72</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18</v>
      </c>
      <c r="M132" s="1069">
        <f>JU49</f>
        <v>27</v>
      </c>
      <c r="N132" s="1069">
        <f>JV49</f>
        <v>18</v>
      </c>
      <c r="O132" s="1070">
        <f>JW49</f>
        <v>9</v>
      </c>
      <c r="P132" s="732">
        <f t="shared" ref="P132:P147" si="363">SUM(K132:O132)</f>
        <v>72</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18</v>
      </c>
      <c r="M155" s="1102">
        <f t="shared" si="367"/>
        <v>27</v>
      </c>
      <c r="N155" s="1102">
        <f t="shared" si="367"/>
        <v>18</v>
      </c>
      <c r="O155" s="1103">
        <f t="shared" si="367"/>
        <v>9</v>
      </c>
      <c r="P155" s="1600">
        <f t="shared" si="365"/>
        <v>72</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1" t="str">
        <f>B160</f>
        <v>UNIT SQUARE FOOTAGE</v>
      </c>
      <c r="T160" s="3121"/>
      <c r="U160" s="312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8652</v>
      </c>
      <c r="M163" s="1105">
        <f>EU49</f>
        <v>17442</v>
      </c>
      <c r="N163" s="1105">
        <f>EV49</f>
        <v>14400</v>
      </c>
      <c r="O163" s="1106">
        <f>EW49</f>
        <v>8298</v>
      </c>
      <c r="P163" s="1029">
        <f t="shared" si="368"/>
        <v>48792</v>
      </c>
      <c r="Q163" s="1228">
        <f t="shared" si="369"/>
        <v>1016.5</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2884</v>
      </c>
      <c r="M164" s="1165">
        <f>EZ49</f>
        <v>4845</v>
      </c>
      <c r="N164" s="1165">
        <f>FA49</f>
        <v>4800</v>
      </c>
      <c r="O164" s="1166">
        <f>FB49</f>
        <v>2766</v>
      </c>
      <c r="P164" s="1167">
        <f t="shared" si="368"/>
        <v>15295</v>
      </c>
      <c r="Q164" s="1228">
        <f t="shared" si="369"/>
        <v>1019.6666666666666</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11536</v>
      </c>
      <c r="M168" s="1602">
        <f>SUM(M161:M167)</f>
        <v>22287</v>
      </c>
      <c r="N168" s="1602">
        <f>SUM(N161:N167)</f>
        <v>19200</v>
      </c>
      <c r="O168" s="1602">
        <f>SUM(O161:O167)</f>
        <v>11064</v>
      </c>
      <c r="P168" s="1602">
        <f>SUM(K168:O168)</f>
        <v>64087</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1442</v>
      </c>
      <c r="M169" s="1108">
        <f>FT49</f>
        <v>3876</v>
      </c>
      <c r="N169" s="1108">
        <f>FU49</f>
        <v>2400</v>
      </c>
      <c r="O169" s="1109">
        <f>FV49</f>
        <v>1383</v>
      </c>
      <c r="P169" s="1036">
        <f>SUM(K169:O169)</f>
        <v>9101</v>
      </c>
      <c r="Q169" s="1175">
        <f>IF(OR(P64=0,P64=""),"",P169/P64)</f>
        <v>1011.2222222222222</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12978</v>
      </c>
      <c r="M170" s="1601">
        <f>SUM(M168:M169)</f>
        <v>26163</v>
      </c>
      <c r="N170" s="1601">
        <f>SUM(N168:N169)</f>
        <v>21600</v>
      </c>
      <c r="O170" s="1601">
        <f>SUM(O168:O169)</f>
        <v>12447</v>
      </c>
      <c r="P170" s="1601">
        <f>SUM(K170:O170)</f>
        <v>73188</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12978</v>
      </c>
      <c r="M172" s="1035">
        <f>SUM(M170:M171)</f>
        <v>26163</v>
      </c>
      <c r="N172" s="1035">
        <f>SUM(N170:N171)</f>
        <v>21600</v>
      </c>
      <c r="O172" s="1035">
        <f>SUM(O170:O171)</f>
        <v>12447</v>
      </c>
      <c r="P172" s="1035">
        <f>SUM(K172:O172)</f>
        <v>73188</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721</v>
      </c>
      <c r="M175" s="1227">
        <f>IF(OR(M67="",M67=0),"",M172/M67)</f>
        <v>969</v>
      </c>
      <c r="N175" s="1227">
        <f>IF(OR(N67="",N67=0),"",N172/N67)</f>
        <v>1200</v>
      </c>
      <c r="O175" s="1227">
        <f>IF(OR(O67="",O67=0),"",O172/O67)</f>
        <v>1383</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12915.529411764708</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86103.529411764714</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v>7200.0000000000009</v>
      </c>
      <c r="I183" s="3549"/>
      <c r="J183" s="1342" t="s">
        <v>4648</v>
      </c>
      <c r="M183" s="81"/>
      <c r="N183" s="81"/>
      <c r="O183" s="81"/>
      <c r="P183" s="1383">
        <f>IF(M50=0,0,H183/M50)</f>
        <v>8.1427698988939413E-3</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41451</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62400</v>
      </c>
      <c r="G225" s="3490"/>
      <c r="H225" s="1"/>
      <c r="I225" s="1" t="s">
        <v>1298</v>
      </c>
      <c r="K225" s="1"/>
      <c r="L225" s="3489"/>
      <c r="M225" s="3490"/>
      <c r="N225" s="1"/>
      <c r="O225" s="318">
        <f>+Q224/(P67*0.93)</f>
        <v>619.04121863799276</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52000</v>
      </c>
      <c r="G226" s="3495"/>
      <c r="H226" s="1"/>
      <c r="I226" s="1" t="s">
        <v>1299</v>
      </c>
      <c r="K226" s="1"/>
      <c r="L226" s="3496">
        <v>6000</v>
      </c>
      <c r="M226" s="3497"/>
      <c r="N226" s="1"/>
      <c r="O226" s="318">
        <f>+Q224/(P67*0.93)/12</f>
        <v>51.586768219832727</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6000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5149</v>
      </c>
      <c r="C230" s="3492"/>
      <c r="D230" s="3492"/>
      <c r="E230" s="3493"/>
      <c r="F230" s="3496">
        <v>28600</v>
      </c>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143000</v>
      </c>
      <c r="G231" s="3499"/>
      <c r="H231" s="1"/>
      <c r="I231" s="1" t="s">
        <v>1495</v>
      </c>
      <c r="K231" s="1"/>
      <c r="L231" s="3502">
        <v>1800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12500</v>
      </c>
      <c r="M232" s="3501"/>
      <c r="N232" s="3506" t="str">
        <f>IF(Q234="","",IF(Q232&lt;Q234, "WARNING! OE may be below required minimum.",""))</f>
        <v/>
      </c>
      <c r="O232" s="4" t="s">
        <v>2024</v>
      </c>
      <c r="P232" s="1"/>
      <c r="Q232" s="325">
        <f>F231+F240+F251+L227+L235+L245+L251+Q224</f>
        <v>497839</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1800</v>
      </c>
      <c r="M233" s="3501"/>
      <c r="N233" s="3506"/>
      <c r="O233" s="42" t="s">
        <v>2479</v>
      </c>
      <c r="P233" s="318">
        <f>+Q232/P67</f>
        <v>6914.4305555555557</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14400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324000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5000</v>
      </c>
      <c r="G235" s="3495"/>
      <c r="H235" s="1"/>
      <c r="I235" s="4"/>
      <c r="K235" s="8" t="s">
        <v>184</v>
      </c>
      <c r="L235" s="3510">
        <f>SUM(L231:L234)</f>
        <v>16100</v>
      </c>
      <c r="M235" s="3511"/>
      <c r="N235" s="3506"/>
      <c r="O235" s="3512" t="s">
        <v>4832</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28800</v>
      </c>
      <c r="G238" s="3495"/>
      <c r="H238" s="1"/>
      <c r="I238" s="4" t="s">
        <v>1295</v>
      </c>
      <c r="K238" s="248" t="s">
        <v>3760</v>
      </c>
      <c r="O238" s="1249" t="s">
        <v>3000</v>
      </c>
      <c r="P238" s="4"/>
      <c r="Q238" s="904">
        <f>Q247</f>
        <v>21600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16.666666666666668</v>
      </c>
      <c r="L239" s="3502">
        <v>14400</v>
      </c>
      <c r="M239" s="3503"/>
      <c r="N239" s="3506" t="str">
        <f>IF(Q238&lt;Q247, "WARNING! RR proposed is below the DCA required minimum.","")</f>
        <v/>
      </c>
      <c r="O239" s="759" t="s">
        <v>3759</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48200</v>
      </c>
      <c r="G240" s="3499"/>
      <c r="H240" s="1"/>
      <c r="I240" s="1" t="s">
        <v>1289</v>
      </c>
      <c r="K240" s="364">
        <f>L240/12/P67</f>
        <v>0</v>
      </c>
      <c r="L240" s="3500"/>
      <c r="M240" s="3501"/>
      <c r="N240" s="3551"/>
      <c r="O240" s="3552" t="s">
        <v>3146</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11.805555555555555</v>
      </c>
      <c r="L241" s="3500">
        <v>10200</v>
      </c>
      <c r="M241" s="3501"/>
      <c r="N241" s="3551"/>
      <c r="O241" s="753" t="s">
        <v>2457</v>
      </c>
      <c r="P241" s="657" t="s">
        <v>3200</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15.888888888888889</v>
      </c>
      <c r="L242" s="3500">
        <v>13728</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c r="G243" s="3522"/>
      <c r="H243" s="1"/>
      <c r="I243" s="72" t="s">
        <v>4576</v>
      </c>
      <c r="K243" s="364">
        <f>L243/12/P67</f>
        <v>3.4722222222222223</v>
      </c>
      <c r="L243" s="3500">
        <v>3000</v>
      </c>
      <c r="M243" s="3501"/>
      <c r="N243" s="3551"/>
      <c r="O243" s="386" t="s">
        <v>2969</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19800</v>
      </c>
      <c r="G244" s="3520"/>
      <c r="H244" s="1"/>
      <c r="I244" s="3555" t="s">
        <v>46</v>
      </c>
      <c r="J244" s="3556"/>
      <c r="K244" s="364">
        <f>L244/12/P67</f>
        <v>0</v>
      </c>
      <c r="L244" s="3504"/>
      <c r="M244" s="3505"/>
      <c r="N244" s="3551"/>
      <c r="O244" s="386" t="s">
        <v>2968</v>
      </c>
      <c r="P244" s="661" t="str">
        <f>CONCATENATE(SUM(MK49:MO49)," units x $",'DCA Underwriting Assumptions'!$Q$42," =")</f>
        <v>72 units x $300 =</v>
      </c>
      <c r="Q244" s="500">
        <f>SUM(MK49:MO49)*'DCA Underwriting Assumptions'!$Q$42</f>
        <v>21600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15000</v>
      </c>
      <c r="G245" s="3520"/>
      <c r="H245" s="1"/>
      <c r="K245" s="8" t="s">
        <v>184</v>
      </c>
      <c r="L245" s="3510">
        <f>SUM(L239:L244)</f>
        <v>41328</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3600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10800</v>
      </c>
      <c r="G247" s="3495"/>
      <c r="H247" s="1"/>
      <c r="I247" s="4" t="s">
        <v>1296</v>
      </c>
      <c r="O247" s="756" t="s">
        <v>2460</v>
      </c>
      <c r="P247" s="757">
        <f>SUM(MF49:MJ49)+SUM(MK49:MO49)+SUM(MP49:MT49)+P125</f>
        <v>72</v>
      </c>
      <c r="Q247" s="758">
        <f>SUM(Q243:Q246)</f>
        <v>21600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3805</v>
      </c>
      <c r="K248" s="1"/>
      <c r="L248" s="3502">
        <v>55000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10800</v>
      </c>
      <c r="G249" s="3495"/>
      <c r="H249" s="1"/>
      <c r="I249" s="1" t="s">
        <v>140</v>
      </c>
      <c r="K249" s="1"/>
      <c r="L249" s="3500">
        <v>81360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5150</v>
      </c>
      <c r="C250" s="3492"/>
      <c r="D250" s="3492" t="s">
        <v>5150</v>
      </c>
      <c r="E250" s="3493"/>
      <c r="F250" s="3496">
        <v>5400</v>
      </c>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65400</v>
      </c>
      <c r="G251" s="3563"/>
      <c r="H251" s="1"/>
      <c r="K251" s="8" t="s">
        <v>184</v>
      </c>
      <c r="L251" s="3510">
        <f>SUM(L247:L250)</f>
        <v>136360</v>
      </c>
      <c r="M251" s="3564"/>
      <c r="N251" s="1"/>
      <c r="O251" s="4" t="s">
        <v>2025</v>
      </c>
      <c r="P251" s="1"/>
      <c r="Q251" s="325">
        <f>Q232+Q238</f>
        <v>519439</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5174</v>
      </c>
      <c r="B260" s="3560"/>
      <c r="C260" s="3560"/>
      <c r="D260" s="3560"/>
      <c r="E260" s="3560"/>
      <c r="F260" s="3560"/>
      <c r="G260" s="3560"/>
      <c r="H260" s="3560"/>
      <c r="I260" s="3560"/>
      <c r="J260" s="3560"/>
      <c r="K260" s="3560"/>
      <c r="L260" s="3560"/>
      <c r="M260" s="3560"/>
      <c r="N260" s="3561"/>
      <c r="O260" s="3561"/>
      <c r="P260" s="3561"/>
      <c r="Q260" s="3561"/>
      <c r="R260" s="2947" t="s">
        <v>3286</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qDPe88oKgUYPx/OBhDRsCm2JQ0LoENFDC/yU9OBM4BDkfY5P3OJ+kCGpdd9kAWEM3VxQbYZ9/ZBc4In59q7i1A==" saltValue="RQndNqaCzKCVqPrqsI5CZ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75" bottom="0.5" header="0.3" footer="0.3"/>
  <pageSetup scale="78" fitToHeight="0" orientation="landscape" r:id="rId1"/>
  <headerFooter>
    <oddHeader>&amp;LGeorgia Department of Community Affairs&amp;C2024 Funding Application&amp;RHousing Finance and Development Division</oddHeader>
    <oddFooter>&amp;L&amp;G  &amp;F&amp;C&amp;A&amp;R&amp;P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dimension ref="A1:AA175"/>
  <sheetViews>
    <sheetView showGridLines="0" view="pageBreakPreview" topLeftCell="A2" zoomScale="60" zoomScaleNormal="100" workbookViewId="0">
      <selection activeCell="X43" sqref="X4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Flats at Lake View II, Warner Robins, Houston County</v>
      </c>
      <c r="B2" s="3568"/>
      <c r="C2" s="3568"/>
      <c r="D2" s="3568"/>
      <c r="E2" s="3568"/>
      <c r="F2" s="3568"/>
      <c r="G2" s="3568"/>
      <c r="H2" s="3568"/>
      <c r="I2" s="3568"/>
      <c r="J2" s="3568"/>
      <c r="K2" s="3569"/>
      <c r="L2" s="4"/>
      <c r="M2" s="4"/>
      <c r="N2" s="3570" t="str">
        <f>A2</f>
        <v>PART SIX - OPERATING PRO FORMA  -  2024-0 Flats at Lake View II, Warner Robins, Houston County</v>
      </c>
      <c r="O2" s="3570"/>
      <c r="P2" s="4"/>
      <c r="AA2" s="1633">
        <v>2</v>
      </c>
    </row>
    <row r="3" spans="1:27" ht="13.5" customHeight="1">
      <c r="A3" s="381"/>
      <c r="B3" s="381"/>
      <c r="C3" s="381"/>
      <c r="D3" s="381"/>
      <c r="E3" s="381"/>
      <c r="F3" s="381"/>
      <c r="G3" s="381"/>
      <c r="H3" s="381"/>
      <c r="I3" s="381"/>
      <c r="J3" s="381"/>
      <c r="K3" s="381"/>
      <c r="N3" s="3445" t="s">
        <v>1706</v>
      </c>
      <c r="O3" s="3445"/>
      <c r="AA3" s="1633">
        <v>3</v>
      </c>
    </row>
    <row r="4" spans="1:27" ht="13.5" customHeight="1">
      <c r="A4" s="10" t="s">
        <v>85</v>
      </c>
      <c r="C4" s="3571" t="str">
        <f>'Part I-Project Identification'!$A$6</f>
        <v>2024 May 7</v>
      </c>
      <c r="D4" s="931" t="s">
        <v>75</v>
      </c>
      <c r="E4" s="180"/>
      <c r="F4" s="932" t="s">
        <v>3315</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3316</v>
      </c>
      <c r="E6" s="3457"/>
      <c r="F6" s="3457"/>
      <c r="G6" s="59">
        <v>5000</v>
      </c>
      <c r="H6" s="75" t="s">
        <v>1763</v>
      </c>
      <c r="K6" s="80">
        <f>IF(($B$15+$B$16+$B$17+$B$18)=0,"",B31/($B$15+$B$16+$B$17+$B$18))</f>
        <v>-6.031213217138392E-3</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4.9999963812720698E-2</v>
      </c>
      <c r="N8" s="3452"/>
      <c r="O8" s="3454"/>
      <c r="AA8" s="1633">
        <v>8</v>
      </c>
    </row>
    <row r="9" spans="1:27" ht="13.35" customHeight="1">
      <c r="A9" s="6" t="s">
        <v>2028</v>
      </c>
      <c r="B9" s="186">
        <v>7.0000000000000007E-2</v>
      </c>
      <c r="C9" s="1154" t="str">
        <f>IF(B9&lt;0.07, "Must be &gt;= 7%!","")</f>
        <v/>
      </c>
      <c r="D9" s="1" t="s">
        <v>2301</v>
      </c>
      <c r="G9" s="1169" t="s">
        <v>2644</v>
      </c>
      <c r="H9" s="140" t="s">
        <v>1353</v>
      </c>
      <c r="K9" s="1171"/>
      <c r="N9" s="3452"/>
      <c r="O9" s="3454"/>
      <c r="AA9" s="1633">
        <v>9</v>
      </c>
    </row>
    <row r="10" spans="1:27">
      <c r="A10" s="6" t="s">
        <v>1334</v>
      </c>
      <c r="B10" s="58">
        <v>0.02</v>
      </c>
      <c r="D10" s="1" t="s">
        <v>1595</v>
      </c>
      <c r="G10" s="1170" t="s">
        <v>2641</v>
      </c>
      <c r="H10" s="140" t="s">
        <v>2168</v>
      </c>
      <c r="K10" s="1172">
        <v>0.05</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1" t="s">
        <v>2404</v>
      </c>
      <c r="O14" s="3101"/>
      <c r="AA14" s="1633">
        <v>14</v>
      </c>
    </row>
    <row r="15" spans="1:27" ht="13.35" customHeight="1">
      <c r="A15" s="14" t="s">
        <v>2209</v>
      </c>
      <c r="B15" s="15">
        <f>'Part V-Revenues &amp; Expenses'!$M$50</f>
        <v>884220</v>
      </c>
      <c r="C15" s="15">
        <f t="shared" ref="C15:K15" si="1">$B$15*(1+$B$6)^(C14-1)</f>
        <v>901904.4</v>
      </c>
      <c r="D15" s="15">
        <f t="shared" si="1"/>
        <v>919942.48800000001</v>
      </c>
      <c r="E15" s="15">
        <f t="shared" si="1"/>
        <v>938341.33775999991</v>
      </c>
      <c r="F15" s="15">
        <f t="shared" si="1"/>
        <v>957108.16451519995</v>
      </c>
      <c r="G15" s="15">
        <f t="shared" si="1"/>
        <v>976250.32780550397</v>
      </c>
      <c r="H15" s="15">
        <f t="shared" si="1"/>
        <v>995775.33436161419</v>
      </c>
      <c r="I15" s="15">
        <f t="shared" si="1"/>
        <v>1015690.8410488463</v>
      </c>
      <c r="J15" s="15">
        <f t="shared" si="1"/>
        <v>1036004.6578698233</v>
      </c>
      <c r="K15" s="16">
        <f t="shared" si="1"/>
        <v>1056724.7510272197</v>
      </c>
      <c r="N15" s="3476"/>
      <c r="O15" s="3478"/>
      <c r="S15" s="3573" t="s">
        <v>3321</v>
      </c>
      <c r="Z15" s="1631" t="s">
        <v>4358</v>
      </c>
      <c r="AA15" s="1633">
        <v>15</v>
      </c>
    </row>
    <row r="16" spans="1:27" ht="13.35" customHeight="1">
      <c r="A16" s="17" t="s">
        <v>951</v>
      </c>
      <c r="B16" s="18">
        <f>MIN(B15*B10,'Part V-Revenues &amp; Expenses'!$H$183)</f>
        <v>7200.0000000000009</v>
      </c>
      <c r="C16" s="18">
        <f t="shared" ref="C16:K16" si="2">$B$16*(1+$B$6)^(C14-1)</f>
        <v>7344.0000000000009</v>
      </c>
      <c r="D16" s="18">
        <f t="shared" si="2"/>
        <v>7490.880000000001</v>
      </c>
      <c r="E16" s="18">
        <f t="shared" si="2"/>
        <v>7640.6976000000004</v>
      </c>
      <c r="F16" s="18">
        <f t="shared" si="2"/>
        <v>7793.5115520000008</v>
      </c>
      <c r="G16" s="18">
        <f t="shared" si="2"/>
        <v>7949.3817830400012</v>
      </c>
      <c r="H16" s="18">
        <f t="shared" si="2"/>
        <v>8108.3694187008014</v>
      </c>
      <c r="I16" s="18">
        <f t="shared" si="2"/>
        <v>8270.5368070748154</v>
      </c>
      <c r="J16" s="18">
        <f t="shared" si="2"/>
        <v>8435.9475432163126</v>
      </c>
      <c r="K16" s="19">
        <f t="shared" si="2"/>
        <v>8604.6664940806386</v>
      </c>
      <c r="N16" s="3452"/>
      <c r="O16" s="3454"/>
      <c r="S16" s="3574"/>
      <c r="Z16" s="1631" t="s">
        <v>4358</v>
      </c>
      <c r="AA16" s="1633">
        <v>16</v>
      </c>
    </row>
    <row r="17" spans="1:27" ht="13.35" customHeight="1">
      <c r="A17" s="17" t="s">
        <v>2210</v>
      </c>
      <c r="B17" s="18">
        <f t="shared" ref="B17:K17" si="3">-(B15+B16)*$B$9</f>
        <v>-62399.400000000009</v>
      </c>
      <c r="C17" s="18">
        <f t="shared" si="3"/>
        <v>-63647.388000000006</v>
      </c>
      <c r="D17" s="18">
        <f t="shared" si="3"/>
        <v>-64920.335760000009</v>
      </c>
      <c r="E17" s="18">
        <f t="shared" si="3"/>
        <v>-66218.742475199993</v>
      </c>
      <c r="F17" s="18">
        <f t="shared" si="3"/>
        <v>-67543.117324703999</v>
      </c>
      <c r="G17" s="18">
        <f t="shared" si="3"/>
        <v>-68893.979671198089</v>
      </c>
      <c r="H17" s="18">
        <f t="shared" si="3"/>
        <v>-70271.85926462205</v>
      </c>
      <c r="I17" s="18">
        <f t="shared" si="3"/>
        <v>-71677.296449914487</v>
      </c>
      <c r="J17" s="18">
        <f t="shared" si="3"/>
        <v>-73110.84237891277</v>
      </c>
      <c r="K17" s="19">
        <f t="shared" si="3"/>
        <v>-74573.059226491023</v>
      </c>
      <c r="N17" s="3452"/>
      <c r="O17" s="3454"/>
      <c r="Q17" s="3576" t="s">
        <v>3215</v>
      </c>
      <c r="R17" s="3576" t="s">
        <v>3320</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4358</v>
      </c>
      <c r="AA19" s="1633">
        <v>19</v>
      </c>
    </row>
    <row r="20" spans="1:27" ht="13.35" customHeight="1">
      <c r="A20" s="340" t="s">
        <v>3714</v>
      </c>
      <c r="B20" s="18">
        <f>SUM(B15:B19)</f>
        <v>829020.6</v>
      </c>
      <c r="C20" s="18">
        <f t="shared" ref="C20:K20" si="4">SUM(C15:C19)</f>
        <v>845601.01199999999</v>
      </c>
      <c r="D20" s="18">
        <f t="shared" si="4"/>
        <v>862513.03223999997</v>
      </c>
      <c r="E20" s="18">
        <f t="shared" si="4"/>
        <v>879763.29288479988</v>
      </c>
      <c r="F20" s="18">
        <f t="shared" si="4"/>
        <v>897358.55874249595</v>
      </c>
      <c r="G20" s="18">
        <f t="shared" si="4"/>
        <v>915305.72991734592</v>
      </c>
      <c r="H20" s="18">
        <f t="shared" si="4"/>
        <v>933611.84451569291</v>
      </c>
      <c r="I20" s="18">
        <f t="shared" si="4"/>
        <v>952284.08140600659</v>
      </c>
      <c r="J20" s="18">
        <f t="shared" si="4"/>
        <v>971329.76303412684</v>
      </c>
      <c r="K20" s="19">
        <f t="shared" si="4"/>
        <v>990756.35829480924</v>
      </c>
      <c r="N20" s="3452"/>
      <c r="O20" s="3454"/>
      <c r="Z20" s="1631" t="s">
        <v>4358</v>
      </c>
      <c r="AA20" s="1633">
        <v>20</v>
      </c>
    </row>
    <row r="21" spans="1:27" ht="13.35" customHeight="1">
      <c r="A21" s="17" t="s">
        <v>571</v>
      </c>
      <c r="B21" s="18">
        <f>-('Part V-Revenues &amp; Expenses'!$Q$232-'Part V-Revenues &amp; Expenses'!$Q$224)</f>
        <v>-456388</v>
      </c>
      <c r="C21" s="18">
        <f t="shared" ref="C21:K21" si="5">$B$21*(1+$B$7)^(C14-1)</f>
        <v>-470079.64</v>
      </c>
      <c r="D21" s="18">
        <f t="shared" si="5"/>
        <v>-484182.02919999999</v>
      </c>
      <c r="E21" s="18">
        <f t="shared" si="5"/>
        <v>-498707.49007599999</v>
      </c>
      <c r="F21" s="18">
        <f t="shared" si="5"/>
        <v>-513668.71477827994</v>
      </c>
      <c r="G21" s="18">
        <f t="shared" si="5"/>
        <v>-529078.7762216283</v>
      </c>
      <c r="H21" s="18">
        <f t="shared" si="5"/>
        <v>-544951.13950827718</v>
      </c>
      <c r="I21" s="18">
        <f t="shared" si="5"/>
        <v>-561299.6736935256</v>
      </c>
      <c r="J21" s="18">
        <f t="shared" si="5"/>
        <v>-578138.66390433128</v>
      </c>
      <c r="K21" s="19">
        <f t="shared" si="5"/>
        <v>-595482.82382146118</v>
      </c>
      <c r="N21" s="3452"/>
      <c r="O21" s="3454"/>
      <c r="Q21" s="47">
        <v>1</v>
      </c>
      <c r="R21" s="856">
        <f>-B32</f>
        <v>27763.93104673177</v>
      </c>
      <c r="S21" s="856">
        <f>B33+R21</f>
        <v>81540.696917413879</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-41451</v>
      </c>
      <c r="C22" s="18">
        <f>IF(AND('Part VI-Pro Forma'!$G$9="Yes",'Part VI-Pro Forma'!$G$10="Yes"),"Choose One!",IF('Part VI-Pro Forma'!$G$9="Yes",ROUND((-$K$9*(1+'Part VI-Pro Forma'!$B$7)^('Part VI-Pro Forma'!C14-1)),),IF('Part VI-Pro Forma'!$G$10="Yes",ROUND((-(SUM(C15:C18)*'Part VI-Pro Forma'!$K$10)),),"Choose mgt fee")))</f>
        <v>-42280</v>
      </c>
      <c r="D22" s="18">
        <f>IF(AND('Part VI-Pro Forma'!$G$9="Yes",'Part VI-Pro Forma'!$G$10="Yes"),"Choose One!",IF('Part VI-Pro Forma'!$G$9="Yes",ROUND((-$K$9*(1+'Part VI-Pro Forma'!$B$7)^('Part VI-Pro Forma'!D14-1)),),IF('Part VI-Pro Forma'!$G$10="Yes",ROUND((-(SUM(D15:D18)*'Part VI-Pro Forma'!$K$10)),),"Choose mgt fee")))</f>
        <v>-43126</v>
      </c>
      <c r="E22" s="18">
        <f>IF(AND('Part VI-Pro Forma'!$G$9="Yes",'Part VI-Pro Forma'!$G$10="Yes"),"Choose One!",IF('Part VI-Pro Forma'!$G$9="Yes",ROUND((-$K$9*(1+'Part VI-Pro Forma'!$B$7)^('Part VI-Pro Forma'!E14-1)),),IF('Part VI-Pro Forma'!$G$10="Yes",ROUND((-(SUM(E15:E18)*'Part VI-Pro Forma'!$K$10)),),"Choose mgt fee")))</f>
        <v>-43988</v>
      </c>
      <c r="F22" s="18">
        <f>IF(AND('Part VI-Pro Forma'!$G$9="Yes",'Part VI-Pro Forma'!$G$10="Yes"),"Choose One!",IF('Part VI-Pro Forma'!$G$9="Yes",ROUND((-$K$9*(1+'Part VI-Pro Forma'!$B$7)^('Part VI-Pro Forma'!F14-1)),),IF('Part VI-Pro Forma'!$G$10="Yes",ROUND((-(SUM(F15:F18)*'Part VI-Pro Forma'!$K$10)),),"Choose mgt fee")))</f>
        <v>-44868</v>
      </c>
      <c r="G22" s="18">
        <f>IF(AND('Part VI-Pro Forma'!$G$9="Yes",'Part VI-Pro Forma'!$G$10="Yes"),"Choose One!",IF('Part VI-Pro Forma'!$G$9="Yes",ROUND((-$K$9*(1+'Part VI-Pro Forma'!$B$7)^('Part VI-Pro Forma'!G14-1)),),IF('Part VI-Pro Forma'!$G$10="Yes",ROUND((-(SUM(G15:G18)*'Part VI-Pro Forma'!$K$10)),),"Choose mgt fee")))</f>
        <v>-45765</v>
      </c>
      <c r="H22" s="18">
        <f>IF(AND('Part VI-Pro Forma'!$G$9="Yes",'Part VI-Pro Forma'!$G$10="Yes"),"Choose One!",IF('Part VI-Pro Forma'!$G$9="Yes",ROUND((-$K$9*(1+'Part VI-Pro Forma'!$B$7)^('Part VI-Pro Forma'!H14-1)),),IF('Part VI-Pro Forma'!$G$10="Yes",ROUND((-(SUM(H15:H18)*'Part VI-Pro Forma'!$K$10)),),"Choose mgt fee")))</f>
        <v>-46681</v>
      </c>
      <c r="I22" s="18">
        <f>IF(AND('Part VI-Pro Forma'!$G$9="Yes",'Part VI-Pro Forma'!$G$10="Yes"),"Choose One!",IF('Part VI-Pro Forma'!$G$9="Yes",ROUND((-$K$9*(1+'Part VI-Pro Forma'!$B$7)^('Part VI-Pro Forma'!I14-1)),),IF('Part VI-Pro Forma'!$G$10="Yes",ROUND((-(SUM(I15:I18)*'Part VI-Pro Forma'!$K$10)),),"Choose mgt fee")))</f>
        <v>-47614</v>
      </c>
      <c r="J22" s="18">
        <f>IF(AND('Part VI-Pro Forma'!$G$9="Yes",'Part VI-Pro Forma'!$G$10="Yes"),"Choose One!",IF('Part VI-Pro Forma'!$G$9="Yes",ROUND((-$K$9*(1+'Part VI-Pro Forma'!$B$7)^('Part VI-Pro Forma'!J14-1)),),IF('Part VI-Pro Forma'!$G$10="Yes",ROUND((-(SUM(J15:J18)*'Part VI-Pro Forma'!$K$10)),),"Choose mgt fee")))</f>
        <v>-48566</v>
      </c>
      <c r="K22" s="19">
        <f>IF(AND('Part VI-Pro Forma'!$G$9="Yes",'Part VI-Pro Forma'!$G$10="Yes"),"Choose One!",IF('Part VI-Pro Forma'!$G$9="Yes",ROUND((-$K$9*(1+'Part VI-Pro Forma'!$B$7)^('Part VI-Pro Forma'!K14-1)),),IF('Part VI-Pro Forma'!$G$10="Yes",ROUND((-(SUM(K15:K18)*'Part VI-Pro Forma'!$K$10)),),"Choose mgt fee")))</f>
        <v>-49538</v>
      </c>
      <c r="N22" s="3452"/>
      <c r="O22" s="3454"/>
      <c r="Q22" s="47">
        <v>2</v>
      </c>
      <c r="R22" s="856">
        <f>-SUM(B32:C32)</f>
        <v>27763.93104673177</v>
      </c>
      <c r="S22" s="856">
        <f>SUM(B33:C33)+R22</f>
        <v>164343.16583482776</v>
      </c>
      <c r="Z22" s="1631" t="s">
        <v>4358</v>
      </c>
      <c r="AA22" s="1633">
        <v>22</v>
      </c>
    </row>
    <row r="23" spans="1:27" ht="13.35" customHeight="1">
      <c r="A23" s="17" t="s">
        <v>1127</v>
      </c>
      <c r="B23" s="18">
        <f>-('Part V-Revenues &amp; Expenses'!$Q$238)</f>
        <v>-21600</v>
      </c>
      <c r="C23" s="18">
        <f t="shared" ref="C23:K23" si="6">$B$23*(1+$B$8)^(C14-1)</f>
        <v>-22248</v>
      </c>
      <c r="D23" s="18">
        <f t="shared" si="6"/>
        <v>-22915.439999999999</v>
      </c>
      <c r="E23" s="18">
        <f t="shared" si="6"/>
        <v>-23602.903200000001</v>
      </c>
      <c r="F23" s="18">
        <f t="shared" si="6"/>
        <v>-24310.990296</v>
      </c>
      <c r="G23" s="18">
        <f t="shared" si="6"/>
        <v>-25040.320004879995</v>
      </c>
      <c r="H23" s="18">
        <f t="shared" si="6"/>
        <v>-25791.529605026397</v>
      </c>
      <c r="I23" s="18">
        <f t="shared" si="6"/>
        <v>-26565.275493177192</v>
      </c>
      <c r="J23" s="18">
        <f t="shared" si="6"/>
        <v>-27362.233757972503</v>
      </c>
      <c r="K23" s="19">
        <f t="shared" si="6"/>
        <v>-28183.100770711681</v>
      </c>
      <c r="N23" s="3452"/>
      <c r="O23" s="3454"/>
      <c r="Q23" s="47">
        <v>3</v>
      </c>
      <c r="R23" s="856">
        <f>-SUM(B32:D32)</f>
        <v>27763.93104673177</v>
      </c>
      <c r="S23" s="856">
        <f>SUM(B33:D33)+R23</f>
        <v>248287.32579224164</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27763.93104673177</v>
      </c>
      <c r="S24" s="856">
        <f>SUM(B33:E33)+R24</f>
        <v>333247.68731845543</v>
      </c>
      <c r="Z24" s="1631" t="s">
        <v>4358</v>
      </c>
      <c r="AA24" s="1633">
        <v>24</v>
      </c>
    </row>
    <row r="25" spans="1:27" ht="13.35" customHeight="1">
      <c r="A25" s="17" t="s">
        <v>1128</v>
      </c>
      <c r="B25" s="18">
        <f>SUM(B20:B24)</f>
        <v>309581.59999999998</v>
      </c>
      <c r="C25" s="18">
        <f t="shared" ref="C25:J25" si="7">SUM(C20:C24)</f>
        <v>310993.37199999997</v>
      </c>
      <c r="D25" s="18">
        <f t="shared" si="7"/>
        <v>312289.56303999998</v>
      </c>
      <c r="E25" s="18">
        <f t="shared" si="7"/>
        <v>313464.8996087999</v>
      </c>
      <c r="F25" s="18">
        <f t="shared" si="7"/>
        <v>314510.85366821603</v>
      </c>
      <c r="G25" s="18">
        <f t="shared" si="7"/>
        <v>315421.6336908376</v>
      </c>
      <c r="H25" s="18">
        <f t="shared" si="7"/>
        <v>316188.17540238932</v>
      </c>
      <c r="I25" s="18">
        <f t="shared" si="7"/>
        <v>316805.13221930381</v>
      </c>
      <c r="J25" s="18">
        <f t="shared" si="7"/>
        <v>317262.86537182308</v>
      </c>
      <c r="K25" s="1156">
        <f>SUM(K20:K24)</f>
        <v>317552.43370263639</v>
      </c>
      <c r="N25" s="3452"/>
      <c r="O25" s="3454"/>
      <c r="Q25" s="92">
        <v>5</v>
      </c>
      <c r="R25" s="856">
        <f>-SUM(B32:F32)</f>
        <v>27763.93104673177</v>
      </c>
      <c r="S25" s="856">
        <f>SUM(B33:F33)+R25</f>
        <v>419090.09385408537</v>
      </c>
      <c r="Z25" s="1631" t="s">
        <v>4358</v>
      </c>
      <c r="AA25" s="1633">
        <v>25</v>
      </c>
    </row>
    <row r="26" spans="1:27" ht="13.35" customHeight="1">
      <c r="A26" s="340" t="s">
        <v>1484</v>
      </c>
      <c r="B26" s="341">
        <f>IF('Part II-Sources of Funds'!$P$40="", 0,-'Part II-Sources of Funds'!$P$40)</f>
        <v>-223040.9030825861</v>
      </c>
      <c r="C26" s="341">
        <f>IF('Part II-Sources of Funds'!$P$40="", 0,-'Part II-Sources of Funds'!$P$40)</f>
        <v>-223040.9030825861</v>
      </c>
      <c r="D26" s="341">
        <f>IF('Part II-Sources of Funds'!$P$40="", 0,-'Part II-Sources of Funds'!$P$40)</f>
        <v>-223040.9030825861</v>
      </c>
      <c r="E26" s="341">
        <f>IF('Part II-Sources of Funds'!$P$40="", 0,-'Part II-Sources of Funds'!$P$40)</f>
        <v>-223040.9030825861</v>
      </c>
      <c r="F26" s="341">
        <f>IF('Part II-Sources of Funds'!$P$40="", 0,-'Part II-Sources of Funds'!$P$40)</f>
        <v>-223040.9030825861</v>
      </c>
      <c r="G26" s="341">
        <f>IF('Part II-Sources of Funds'!$P$40="", 0,-'Part II-Sources of Funds'!$P$40)</f>
        <v>-223040.9030825861</v>
      </c>
      <c r="H26" s="341">
        <f>IF('Part II-Sources of Funds'!$P$40="", 0,-'Part II-Sources of Funds'!$P$40)</f>
        <v>-223040.9030825861</v>
      </c>
      <c r="I26" s="341">
        <f>IF('Part II-Sources of Funds'!$P$40="", 0,-'Part II-Sources of Funds'!$P$40)</f>
        <v>-223040.9030825861</v>
      </c>
      <c r="J26" s="341">
        <f>IF('Part II-Sources of Funds'!$P$40="", 0,-'Part II-Sources of Funds'!$P$40)</f>
        <v>-223040.9030825861</v>
      </c>
      <c r="K26" s="341">
        <f>IF('Part II-Sources of Funds'!$P$40="", 0,-'Part II-Sources of Funds'!$P$40)</f>
        <v>-223040.9030825861</v>
      </c>
      <c r="N26" s="3452"/>
      <c r="O26" s="3454"/>
      <c r="Q26" s="92">
        <v>6</v>
      </c>
      <c r="R26" s="856">
        <f>-SUM(B32:G32)</f>
        <v>27763.93104673177</v>
      </c>
      <c r="S26" s="856">
        <f>SUM(B33:G33)+R26</f>
        <v>505674.45409083687</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27763.93104673177</v>
      </c>
      <c r="S27" s="856">
        <f>SUM(B33:H33)+R27</f>
        <v>592851.46492799511</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27763.93104673177</v>
      </c>
      <c r="S28" s="856">
        <f>SUM(B33:I33)+R28</f>
        <v>680466.32473758841</v>
      </c>
      <c r="Z28" s="1631" t="s">
        <v>4358</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27763.93104673177</v>
      </c>
      <c r="S29" s="856">
        <f>SUM(B33:J33)+R29</f>
        <v>768354.43661988736</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27763.93104673177</v>
      </c>
      <c r="S30" s="856">
        <f>SUM(B33:K33)+R30</f>
        <v>856342.10132079141</v>
      </c>
      <c r="Z30" s="1631" t="s">
        <v>4358</v>
      </c>
      <c r="AA30" s="1633">
        <v>30</v>
      </c>
    </row>
    <row r="31" spans="1:27" ht="13.35" customHeight="1">
      <c r="A31" s="340" t="s">
        <v>1094</v>
      </c>
      <c r="B31" s="894">
        <f>-$G$6</f>
        <v>-5000</v>
      </c>
      <c r="C31" s="894">
        <f t="shared" ref="C31:K31" si="8">+B31*(1+$B$7)</f>
        <v>-5150</v>
      </c>
      <c r="D31" s="894">
        <f t="shared" si="8"/>
        <v>-5304.5</v>
      </c>
      <c r="E31" s="894">
        <f t="shared" si="8"/>
        <v>-5463.6350000000002</v>
      </c>
      <c r="F31" s="894">
        <f t="shared" si="8"/>
        <v>-5627.5440500000004</v>
      </c>
      <c r="G31" s="894">
        <f t="shared" si="8"/>
        <v>-5796.3703715000001</v>
      </c>
      <c r="H31" s="894">
        <f t="shared" si="8"/>
        <v>-5970.2614826449999</v>
      </c>
      <c r="I31" s="894">
        <f t="shared" si="8"/>
        <v>-6149.3693271243501</v>
      </c>
      <c r="J31" s="894">
        <f t="shared" si="8"/>
        <v>-6333.8504069380806</v>
      </c>
      <c r="K31" s="894">
        <f t="shared" si="8"/>
        <v>-6523.865919146223</v>
      </c>
      <c r="N31" s="3452"/>
      <c r="O31" s="3454"/>
      <c r="Q31" s="92">
        <v>11</v>
      </c>
      <c r="R31" s="856">
        <f>-SUM(B32:K32)-B64</f>
        <v>27763.93104673177</v>
      </c>
      <c r="S31" s="856">
        <f>SUM(B33:K33)+B65+R31</f>
        <v>944248.19947225216</v>
      </c>
      <c r="Z31" s="1631" t="s">
        <v>4358</v>
      </c>
      <c r="AA31" s="1633">
        <v>31</v>
      </c>
    </row>
    <row r="32" spans="1:27" ht="13.35" customHeight="1">
      <c r="A32" s="340" t="s">
        <v>3274</v>
      </c>
      <c r="B32" s="179">
        <f>-MIN(SUM(B25:B31),'Part II-Sources of Funds'!$I$45)</f>
        <v>-27763.93104673177</v>
      </c>
      <c r="C32" s="179">
        <f t="shared" ref="C32:K32" si="9">-MIN(SUM(C25:C31),B44)</f>
        <v>0</v>
      </c>
      <c r="D32" s="179">
        <f t="shared" si="9"/>
        <v>0</v>
      </c>
      <c r="E32" s="179">
        <f t="shared" si="9"/>
        <v>0</v>
      </c>
      <c r="F32" s="179">
        <f t="shared" si="9"/>
        <v>0</v>
      </c>
      <c r="G32" s="179">
        <f t="shared" si="9"/>
        <v>0</v>
      </c>
      <c r="H32" s="179">
        <f t="shared" si="9"/>
        <v>0</v>
      </c>
      <c r="I32" s="179">
        <f t="shared" si="9"/>
        <v>0</v>
      </c>
      <c r="J32" s="179">
        <f t="shared" si="9"/>
        <v>0</v>
      </c>
      <c r="K32" s="179">
        <f t="shared" si="9"/>
        <v>0</v>
      </c>
      <c r="N32" s="3452"/>
      <c r="O32" s="3454"/>
      <c r="Q32" s="92">
        <v>12</v>
      </c>
      <c r="R32" s="856">
        <f>-SUM(B32:K32) - SUM(B64:C64)</f>
        <v>27763.93104673177</v>
      </c>
      <c r="S32" s="856">
        <f>SUM(B33:K33) + SUM(B65:C65)+R32</f>
        <v>1031882.8628061272</v>
      </c>
      <c r="Z32" s="1631" t="s">
        <v>4358</v>
      </c>
      <c r="AA32" s="1633">
        <v>32</v>
      </c>
    </row>
    <row r="33" spans="1:27" ht="13.35" customHeight="1">
      <c r="A33" s="17" t="s">
        <v>1095</v>
      </c>
      <c r="B33" s="18">
        <f t="shared" ref="B33:K33" si="10">SUM(B25:B32)</f>
        <v>53776.765870682109</v>
      </c>
      <c r="C33" s="18">
        <f t="shared" si="10"/>
        <v>82802.468917413877</v>
      </c>
      <c r="D33" s="18">
        <f t="shared" si="10"/>
        <v>83944.159957413882</v>
      </c>
      <c r="E33" s="18">
        <f t="shared" si="10"/>
        <v>84960.361526213805</v>
      </c>
      <c r="F33" s="18">
        <f t="shared" si="10"/>
        <v>85842.40653562994</v>
      </c>
      <c r="G33" s="18">
        <f t="shared" si="10"/>
        <v>86584.360236751498</v>
      </c>
      <c r="H33" s="18">
        <f t="shared" si="10"/>
        <v>87177.010837158217</v>
      </c>
      <c r="I33" s="18">
        <f t="shared" si="10"/>
        <v>87614.859809593356</v>
      </c>
      <c r="J33" s="18">
        <f t="shared" si="10"/>
        <v>87888.111882298894</v>
      </c>
      <c r="K33" s="19">
        <f t="shared" si="10"/>
        <v>87987.664700904075</v>
      </c>
      <c r="N33" s="3452"/>
      <c r="O33" s="3454"/>
      <c r="Q33" s="92">
        <v>13</v>
      </c>
      <c r="R33" s="856">
        <f>-SUM(B32:K32) - SUM(B64:D64)</f>
        <v>27763.93104673177</v>
      </c>
      <c r="S33" s="856">
        <f>SUM(B33:K33) + SUM(B65:D65)+R33</f>
        <v>1119045.1339807971</v>
      </c>
      <c r="Z33" s="1631" t="s">
        <v>4358</v>
      </c>
      <c r="AA33" s="1633">
        <v>33</v>
      </c>
    </row>
    <row r="34" spans="1:27" ht="13.35" customHeight="1">
      <c r="A34" s="17" t="str">
        <f>IF('Part II-Sources of Funds'!$E$40 = "Neither", "", "DCR Mortgage A")</f>
        <v>DCR Mortgage A</v>
      </c>
      <c r="B34" s="20">
        <f t="shared" ref="B34:K34" si="11">IF(B26=0,"",-B25/B26)</f>
        <v>1.3880037056941532</v>
      </c>
      <c r="C34" s="20">
        <f t="shared" si="11"/>
        <v>1.3943333608403092</v>
      </c>
      <c r="D34" s="20">
        <f t="shared" si="11"/>
        <v>1.4001448107675905</v>
      </c>
      <c r="E34" s="20">
        <f t="shared" si="11"/>
        <v>1.4054144117804805</v>
      </c>
      <c r="F34" s="20">
        <f t="shared" si="11"/>
        <v>1.4101039285684791</v>
      </c>
      <c r="G34" s="20">
        <f t="shared" si="11"/>
        <v>1.4141873949194215</v>
      </c>
      <c r="H34" s="20">
        <f t="shared" si="11"/>
        <v>1.4176241713176407</v>
      </c>
      <c r="I34" s="20">
        <f t="shared" si="11"/>
        <v>1.4203902864489359</v>
      </c>
      <c r="J34" s="20">
        <f t="shared" si="11"/>
        <v>1.42244252505716</v>
      </c>
      <c r="K34" s="21">
        <f t="shared" si="11"/>
        <v>1.4237407996194098</v>
      </c>
      <c r="N34" s="3452"/>
      <c r="O34" s="3454"/>
      <c r="Q34" s="92">
        <v>14</v>
      </c>
      <c r="R34" s="856">
        <f>-SUM(B32:K32) - SUM(B64:E64)</f>
        <v>27763.93104673177</v>
      </c>
      <c r="S34" s="856">
        <f>SUM(B33:K33) + SUM(B65:E65)+R34</f>
        <v>1205525.6146484513</v>
      </c>
      <c r="Z34" s="1631" t="s">
        <v>4358</v>
      </c>
      <c r="AA34" s="1633">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452"/>
      <c r="O35" s="3454"/>
      <c r="Q35" s="92">
        <v>15</v>
      </c>
      <c r="R35" s="856">
        <f>-SUM(B32:K32) - SUM(B64:F64)</f>
        <v>27763.93104673177</v>
      </c>
      <c r="S35" s="856">
        <f>SUM(B33:K33) + SUM(B65:F65)+R35</f>
        <v>1291103.1013791848</v>
      </c>
      <c r="Z35" s="1631" t="s">
        <v>4358</v>
      </c>
      <c r="AA35" s="163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52"/>
      <c r="O36" s="3454"/>
      <c r="Q36" s="47">
        <v>16</v>
      </c>
      <c r="R36" s="856">
        <f>-SUM(B32:K32) - SUM(B64:G64)</f>
        <v>27763.93104673177</v>
      </c>
      <c r="S36" s="856">
        <f>SUM(B33:K33) + SUM(B65:G65)+R36</f>
        <v>1383337.0461289051</v>
      </c>
      <c r="Z36" s="1631" t="s">
        <v>4358</v>
      </c>
      <c r="AA36" s="1633">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52"/>
      <c r="O37" s="3454"/>
      <c r="Q37" s="47">
        <v>17</v>
      </c>
      <c r="R37" s="856">
        <f>-SUM(B32:K32) - SUM(B64:H64)</f>
        <v>27763.93104673177</v>
      </c>
      <c r="S37" s="856">
        <f>SUM(B33:K33) + SUM(B65:H65)+R37</f>
        <v>1474430.3505400103</v>
      </c>
      <c r="Z37" s="1631" t="s">
        <v>4358</v>
      </c>
      <c r="AA37" s="1633">
        <v>37</v>
      </c>
    </row>
    <row r="38" spans="1:27" ht="13.35" customHeight="1">
      <c r="A38" s="340" t="s">
        <v>3129</v>
      </c>
      <c r="B38" s="20">
        <f t="shared" ref="B38:K38" si="15">IF(AND(B26=0,B27=0,B28=0,B29=0),"",-B25/(B26+B27+B28+B29))</f>
        <v>1.3880037056941532</v>
      </c>
      <c r="C38" s="20">
        <f t="shared" si="15"/>
        <v>1.3943333608403092</v>
      </c>
      <c r="D38" s="20">
        <f t="shared" si="15"/>
        <v>1.4001448107675905</v>
      </c>
      <c r="E38" s="20">
        <f t="shared" si="15"/>
        <v>1.4054144117804805</v>
      </c>
      <c r="F38" s="20">
        <f t="shared" si="15"/>
        <v>1.4101039285684791</v>
      </c>
      <c r="G38" s="20">
        <f t="shared" si="15"/>
        <v>1.4141873949194215</v>
      </c>
      <c r="H38" s="20">
        <f t="shared" si="15"/>
        <v>1.4176241713176407</v>
      </c>
      <c r="I38" s="20">
        <f t="shared" si="15"/>
        <v>1.4203902864489359</v>
      </c>
      <c r="J38" s="20">
        <f t="shared" si="15"/>
        <v>1.42244252505716</v>
      </c>
      <c r="K38" s="21">
        <f t="shared" si="15"/>
        <v>1.4237407996194098</v>
      </c>
      <c r="N38" s="3452"/>
      <c r="O38" s="3454"/>
      <c r="Q38" s="47">
        <v>18</v>
      </c>
      <c r="R38" s="856">
        <f>-SUM(B32:K32) - SUM(B64:I64)</f>
        <v>27763.93104673177</v>
      </c>
      <c r="S38" s="856">
        <f>SUM(B33:K33) + SUM(B65:I65)+R38</f>
        <v>1564136.0948868697</v>
      </c>
      <c r="Z38" s="1631" t="s">
        <v>4358</v>
      </c>
      <c r="AA38" s="1633">
        <v>38</v>
      </c>
    </row>
    <row r="39" spans="1:27" ht="13.35" customHeight="1">
      <c r="A39" s="17" t="s">
        <v>717</v>
      </c>
      <c r="B39" s="220">
        <f t="shared" ref="B39:K39" si="16">IF(OR(B22="Choose mgt fee",B22="Choose One!"),"",(B15+B16+B17+B18+B19) / -(B21+B22+B23))</f>
        <v>1.5959922146777581</v>
      </c>
      <c r="C39" s="220">
        <f t="shared" si="16"/>
        <v>1.5817226480339861</v>
      </c>
      <c r="D39" s="220">
        <f t="shared" si="16"/>
        <v>1.5675685980717162</v>
      </c>
      <c r="E39" s="220">
        <f t="shared" si="16"/>
        <v>1.553533090206076</v>
      </c>
      <c r="F39" s="220">
        <f t="shared" si="16"/>
        <v>1.539610692347384</v>
      </c>
      <c r="G39" s="220">
        <f t="shared" si="16"/>
        <v>1.525804293987715</v>
      </c>
      <c r="H39" s="220">
        <f t="shared" si="16"/>
        <v>1.5121089313865705</v>
      </c>
      <c r="I39" s="220">
        <f t="shared" si="16"/>
        <v>1.4985297036585659</v>
      </c>
      <c r="J39" s="220">
        <f t="shared" si="16"/>
        <v>1.4850617979686027</v>
      </c>
      <c r="K39" s="221">
        <f t="shared" si="16"/>
        <v>1.4717031825015128</v>
      </c>
      <c r="N39" s="3452"/>
      <c r="O39" s="3454"/>
      <c r="Q39" s="92">
        <v>19</v>
      </c>
      <c r="R39" s="856">
        <f>-SUM(B32:K32) - SUM(B64:J64)</f>
        <v>27763.93104673177</v>
      </c>
      <c r="S39" s="856">
        <f>SUM(B33:K33) + SUM(B65:J65)+R39</f>
        <v>1652196.1788417751</v>
      </c>
      <c r="Z39" s="1631" t="s">
        <v>4358</v>
      </c>
      <c r="AA39" s="1633">
        <v>39</v>
      </c>
    </row>
    <row r="40" spans="1:27" ht="13.35" customHeight="1">
      <c r="A40" s="340" t="s">
        <v>2399</v>
      </c>
      <c r="B40" s="177">
        <f>IF('Part II-Sources of Funds'!$I$40="","",-FV('Part II-Sources of Funds'!$K$40/12,12,B26/12,'Part II-Sources of Funds'!$I$40))</f>
        <v>2838027.365205816</v>
      </c>
      <c r="C40" s="177">
        <f>IF('Part II-Sources of Funds'!$I$40="","",-FV('Part II-Sources of Funds'!$K$40/12,12,C26/12,B40))</f>
        <v>2825135.5174918994</v>
      </c>
      <c r="D40" s="177">
        <f>IF('Part II-Sources of Funds'!$I$40="","",-FV('Part II-Sources of Funds'!$K$40/12,12,D26/12,C40))</f>
        <v>2811253.883220423</v>
      </c>
      <c r="E40" s="177">
        <f>IF('Part II-Sources of Funds'!$I$40="","",-FV('Part II-Sources of Funds'!$K$40/12,12,E26/12,D40))</f>
        <v>2796306.4703806783</v>
      </c>
      <c r="F40" s="177">
        <f>IF('Part II-Sources of Funds'!$I$40="","",-FV('Part II-Sources of Funds'!$K$40/12,12,F26/12,E40))</f>
        <v>2780211.4525872148</v>
      </c>
      <c r="G40" s="177">
        <f>IF('Part II-Sources of Funds'!$I$40="","",-FV('Part II-Sources of Funds'!$K$40/12,12,G26/12,F40))</f>
        <v>2762880.7211389537</v>
      </c>
      <c r="H40" s="177">
        <f>IF('Part II-Sources of Funds'!$I$40="","",-FV('Part II-Sources of Funds'!$K$40/12,12,H26/12,G40))</f>
        <v>2744219.4026871207</v>
      </c>
      <c r="I40" s="177">
        <f>IF('Part II-Sources of Funds'!$I$40="","",-FV('Part II-Sources of Funds'!$K$40/12,12,I26/12,H40))</f>
        <v>2724125.3398715742</v>
      </c>
      <c r="J40" s="177">
        <f>IF('Part II-Sources of Funds'!$I$40="","",-FV('Part II-Sources of Funds'!$K$40/12,12,J26/12,I40))</f>
        <v>2702488.5320823868</v>
      </c>
      <c r="K40" s="177">
        <f>IF('Part II-Sources of Funds'!$I$40="","",-FV('Part II-Sources of Funds'!$K$40/12,12,K26/12,J40))</f>
        <v>2679190.5332852472</v>
      </c>
      <c r="N40" s="3452"/>
      <c r="O40" s="3454"/>
      <c r="Q40" s="92">
        <v>20</v>
      </c>
      <c r="R40" s="856">
        <f>-SUM(B32:K32) - SUM(B64:K64)</f>
        <v>27763.93104673177</v>
      </c>
      <c r="S40" s="856">
        <f>SUM(B33:K33) + SUM(B65:K65)+R40</f>
        <v>1738340.8967966707</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3275</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01" t="s">
        <v>2402</v>
      </c>
      <c r="O46" s="3101"/>
      <c r="AA46" s="1633">
        <v>46</v>
      </c>
    </row>
    <row r="47" spans="1:27" ht="13.35" customHeight="1">
      <c r="A47" s="14" t="s">
        <v>2209</v>
      </c>
      <c r="B47" s="15">
        <f t="shared" ref="B47:K47" si="18">$B$15*(1+$B$6)^(B46-1)</f>
        <v>1077859.2460477641</v>
      </c>
      <c r="C47" s="15">
        <f t="shared" si="18"/>
        <v>1099416.4309687193</v>
      </c>
      <c r="D47" s="15">
        <f t="shared" si="18"/>
        <v>1121404.7595880937</v>
      </c>
      <c r="E47" s="15">
        <f t="shared" si="18"/>
        <v>1143832.8547798556</v>
      </c>
      <c r="F47" s="15">
        <f t="shared" si="18"/>
        <v>1166709.5118754527</v>
      </c>
      <c r="G47" s="15">
        <f t="shared" si="18"/>
        <v>1190043.7021129616</v>
      </c>
      <c r="H47" s="15">
        <f t="shared" si="18"/>
        <v>1213844.5761552211</v>
      </c>
      <c r="I47" s="15">
        <f t="shared" si="18"/>
        <v>1238121.4676783255</v>
      </c>
      <c r="J47" s="15">
        <f t="shared" si="18"/>
        <v>1262883.8970318919</v>
      </c>
      <c r="K47" s="16">
        <f t="shared" si="18"/>
        <v>1288141.5749725297</v>
      </c>
      <c r="N47" s="3476"/>
      <c r="O47" s="3478"/>
      <c r="Z47" s="1631" t="s">
        <v>4359</v>
      </c>
      <c r="AA47" s="1633">
        <v>47</v>
      </c>
    </row>
    <row r="48" spans="1:27" ht="13.35" customHeight="1">
      <c r="A48" s="17" t="s">
        <v>951</v>
      </c>
      <c r="B48" s="18">
        <f t="shared" ref="B48:K48" si="19">$B$16*(1+$B$6)^(B46-1)</f>
        <v>8776.759823962253</v>
      </c>
      <c r="C48" s="18">
        <f t="shared" si="19"/>
        <v>8952.2950204414956</v>
      </c>
      <c r="D48" s="18">
        <f t="shared" si="19"/>
        <v>9131.3409208503272</v>
      </c>
      <c r="E48" s="18">
        <f t="shared" si="19"/>
        <v>9313.9677392673329</v>
      </c>
      <c r="F48" s="18">
        <f t="shared" si="19"/>
        <v>9500.24709405268</v>
      </c>
      <c r="G48" s="18">
        <f t="shared" si="19"/>
        <v>9690.2520359337323</v>
      </c>
      <c r="H48" s="18">
        <f t="shared" si="19"/>
        <v>9884.0570766524088</v>
      </c>
      <c r="I48" s="18">
        <f t="shared" si="19"/>
        <v>10081.738218185457</v>
      </c>
      <c r="J48" s="18">
        <f t="shared" si="19"/>
        <v>10283.372982549165</v>
      </c>
      <c r="K48" s="19">
        <f t="shared" si="19"/>
        <v>10489.040442200148</v>
      </c>
      <c r="N48" s="3452"/>
      <c r="O48" s="3454"/>
      <c r="Z48" s="1631" t="s">
        <v>4359</v>
      </c>
      <c r="AA48" s="1633">
        <v>48</v>
      </c>
    </row>
    <row r="49" spans="1:27" ht="13.35" customHeight="1">
      <c r="A49" s="17" t="s">
        <v>2210</v>
      </c>
      <c r="B49" s="18">
        <f t="shared" ref="B49:K49" si="20">-(B47+B48)*$B$9</f>
        <v>-76064.520411020858</v>
      </c>
      <c r="C49" s="18">
        <f t="shared" si="20"/>
        <v>-77585.810819241262</v>
      </c>
      <c r="D49" s="18">
        <f t="shared" si="20"/>
        <v>-79137.527035626103</v>
      </c>
      <c r="E49" s="18">
        <f t="shared" si="20"/>
        <v>-80720.277576338602</v>
      </c>
      <c r="F49" s="18">
        <f t="shared" si="20"/>
        <v>-82334.683127865384</v>
      </c>
      <c r="G49" s="18">
        <f t="shared" si="20"/>
        <v>-83981.376790422684</v>
      </c>
      <c r="H49" s="18">
        <f t="shared" si="20"/>
        <v>-85661.004326231152</v>
      </c>
      <c r="I49" s="18">
        <f t="shared" si="20"/>
        <v>-87374.224412755779</v>
      </c>
      <c r="J49" s="18">
        <f t="shared" si="20"/>
        <v>-89121.70890101089</v>
      </c>
      <c r="K49" s="19">
        <f t="shared" si="20"/>
        <v>-90904.143079031099</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4359</v>
      </c>
      <c r="AA51" s="1633">
        <v>51</v>
      </c>
    </row>
    <row r="52" spans="1:27" ht="13.35" customHeight="1">
      <c r="A52" s="340" t="s">
        <v>3714</v>
      </c>
      <c r="B52" s="18">
        <f t="shared" ref="B52:K52" si="21">SUM(B47:B51)</f>
        <v>1010571.4854607056</v>
      </c>
      <c r="C52" s="18">
        <f t="shared" si="21"/>
        <v>1030782.9151699196</v>
      </c>
      <c r="D52" s="18">
        <f t="shared" si="21"/>
        <v>1051398.573473318</v>
      </c>
      <c r="E52" s="18">
        <f t="shared" si="21"/>
        <v>1072426.5449427844</v>
      </c>
      <c r="F52" s="18">
        <f t="shared" si="21"/>
        <v>1093875.0758416399</v>
      </c>
      <c r="G52" s="18">
        <f t="shared" si="21"/>
        <v>1115752.5773584726</v>
      </c>
      <c r="H52" s="18">
        <f t="shared" si="21"/>
        <v>1138067.6289056423</v>
      </c>
      <c r="I52" s="18">
        <f t="shared" si="21"/>
        <v>1160828.9814837552</v>
      </c>
      <c r="J52" s="18">
        <f t="shared" si="21"/>
        <v>1184045.5611134302</v>
      </c>
      <c r="K52" s="19">
        <f t="shared" si="21"/>
        <v>1207726.4723356988</v>
      </c>
      <c r="N52" s="3452"/>
      <c r="O52" s="3454"/>
      <c r="Z52" s="1631" t="s">
        <v>4359</v>
      </c>
      <c r="AA52" s="1633">
        <v>52</v>
      </c>
    </row>
    <row r="53" spans="1:27" ht="13.35" customHeight="1">
      <c r="A53" s="17" t="s">
        <v>571</v>
      </c>
      <c r="B53" s="18">
        <f t="shared" ref="B53:K53" si="22">$B$21*(1+$B$7)^(B46-1)</f>
        <v>-613347.30853610509</v>
      </c>
      <c r="C53" s="18">
        <f t="shared" si="22"/>
        <v>-631747.72779218818</v>
      </c>
      <c r="D53" s="18">
        <f t="shared" si="22"/>
        <v>-650700.15962595376</v>
      </c>
      <c r="E53" s="18">
        <f t="shared" si="22"/>
        <v>-670221.16441473237</v>
      </c>
      <c r="F53" s="18">
        <f t="shared" si="22"/>
        <v>-690327.79934717435</v>
      </c>
      <c r="G53" s="18">
        <f t="shared" si="22"/>
        <v>-711037.63332758972</v>
      </c>
      <c r="H53" s="18">
        <f t="shared" si="22"/>
        <v>-732368.76232741727</v>
      </c>
      <c r="I53" s="18">
        <f t="shared" si="22"/>
        <v>-754339.82519723976</v>
      </c>
      <c r="J53" s="18">
        <f t="shared" si="22"/>
        <v>-776970.01995315694</v>
      </c>
      <c r="K53" s="19">
        <f t="shared" si="22"/>
        <v>-800279.12055175169</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-50529</v>
      </c>
      <c r="C54" s="18">
        <f>IF(AND('Part VI-Pro Forma'!$G$9="Yes",'Part VI-Pro Forma'!$G$10="Yes"),"Choose One!",IF('Part VI-Pro Forma'!$G$9="Yes",ROUND((-$K$9*(1+'Part VI-Pro Forma'!$B$7)^('Part VI-Pro Forma'!C46-1)),),IF('Part VI-Pro Forma'!$G$10="Yes",ROUND((-(SUM(C47:C50)*'Part VI-Pro Forma'!$K$10)),),"Choose mgt fee")))</f>
        <v>-51539</v>
      </c>
      <c r="D54" s="18">
        <f>IF(AND('Part VI-Pro Forma'!$G$9="Yes",'Part VI-Pro Forma'!$G$10="Yes"),"Choose One!",IF('Part VI-Pro Forma'!$G$9="Yes",ROUND((-$K$9*(1+'Part VI-Pro Forma'!$B$7)^('Part VI-Pro Forma'!D46-1)),),IF('Part VI-Pro Forma'!$G$10="Yes",ROUND((-(SUM(D47:D50)*'Part VI-Pro Forma'!$K$10)),),"Choose mgt fee")))</f>
        <v>-52570</v>
      </c>
      <c r="E54" s="18">
        <f>IF(AND('Part VI-Pro Forma'!$G$9="Yes",'Part VI-Pro Forma'!$G$10="Yes"),"Choose One!",IF('Part VI-Pro Forma'!$G$9="Yes",ROUND((-$K$9*(1+'Part VI-Pro Forma'!$B$7)^('Part VI-Pro Forma'!E46-1)),),IF('Part VI-Pro Forma'!$G$10="Yes",ROUND((-(SUM(E47:E50)*'Part VI-Pro Forma'!$K$10)),),"Choose mgt fee")))</f>
        <v>-53621</v>
      </c>
      <c r="F54" s="18">
        <f>IF(AND('Part VI-Pro Forma'!$G$9="Yes",'Part VI-Pro Forma'!$G$10="Yes"),"Choose One!",IF('Part VI-Pro Forma'!$G$9="Yes",ROUND((-$K$9*(1+'Part VI-Pro Forma'!$B$7)^('Part VI-Pro Forma'!F46-1)),),IF('Part VI-Pro Forma'!$G$10="Yes",ROUND((-(SUM(F47:F50)*'Part VI-Pro Forma'!$K$10)),),"Choose mgt fee")))</f>
        <v>-54694</v>
      </c>
      <c r="G54" s="18">
        <f>IF(AND('Part VI-Pro Forma'!$G$9="Yes",'Part VI-Pro Forma'!$G$10="Yes"),"Choose One!",IF('Part VI-Pro Forma'!$G$9="Yes",ROUND((-$K$9*(1+'Part VI-Pro Forma'!$B$7)^('Part VI-Pro Forma'!G46-1)),),IF('Part VI-Pro Forma'!$G$10="Yes",ROUND((-(SUM(G47:G50)*'Part VI-Pro Forma'!$K$10)),),"Choose mgt fee")))</f>
        <v>-55788</v>
      </c>
      <c r="H54" s="18">
        <f>IF(AND('Part VI-Pro Forma'!$G$9="Yes",'Part VI-Pro Forma'!$G$10="Yes"),"Choose One!",IF('Part VI-Pro Forma'!$G$9="Yes",ROUND((-$K$9*(1+'Part VI-Pro Forma'!$B$7)^('Part VI-Pro Forma'!H46-1)),),IF('Part VI-Pro Forma'!$G$10="Yes",ROUND((-(SUM(H47:H50)*'Part VI-Pro Forma'!$K$10)),),"Choose mgt fee")))</f>
        <v>-56903</v>
      </c>
      <c r="I54" s="18">
        <f>IF(AND('Part VI-Pro Forma'!$G$9="Yes",'Part VI-Pro Forma'!$G$10="Yes"),"Choose One!",IF('Part VI-Pro Forma'!$G$9="Yes",ROUND((-$K$9*(1+'Part VI-Pro Forma'!$B$7)^('Part VI-Pro Forma'!I46-1)),),IF('Part VI-Pro Forma'!$G$10="Yes",ROUND((-(SUM(I47:I50)*'Part VI-Pro Forma'!$K$10)),),"Choose mgt fee")))</f>
        <v>-58041</v>
      </c>
      <c r="J54" s="18">
        <f>IF(AND('Part VI-Pro Forma'!$G$9="Yes",'Part VI-Pro Forma'!$G$10="Yes"),"Choose One!",IF('Part VI-Pro Forma'!$G$9="Yes",ROUND((-$K$9*(1+'Part VI-Pro Forma'!$B$7)^('Part VI-Pro Forma'!J46-1)),),IF('Part VI-Pro Forma'!$G$10="Yes",ROUND((-(SUM(J47:J50)*'Part VI-Pro Forma'!$K$10)),),"Choose mgt fee")))</f>
        <v>-59202</v>
      </c>
      <c r="K54" s="19">
        <f>IF(AND('Part VI-Pro Forma'!$G$9="Yes",'Part VI-Pro Forma'!$G$10="Yes"),"Choose One!",IF('Part VI-Pro Forma'!$G$9="Yes",ROUND((-$K$9*(1+'Part VI-Pro Forma'!$B$7)^('Part VI-Pro Forma'!K46-1)),),IF('Part VI-Pro Forma'!$G$10="Yes",ROUND((-(SUM(K47:K50)*'Part VI-Pro Forma'!$K$10)),),"Choose mgt fee")))</f>
        <v>-60386</v>
      </c>
      <c r="N54" s="3452"/>
      <c r="O54" s="3454"/>
      <c r="Z54" s="1631" t="s">
        <v>4359</v>
      </c>
      <c r="AA54" s="1633">
        <v>54</v>
      </c>
    </row>
    <row r="55" spans="1:27" ht="13.35" customHeight="1">
      <c r="A55" s="17" t="s">
        <v>1127</v>
      </c>
      <c r="B55" s="18">
        <f t="shared" ref="B55:K55" si="23">$B$23*(1+$B$8)^(B46-1)</f>
        <v>-29028.593793833032</v>
      </c>
      <c r="C55" s="18">
        <f t="shared" si="23"/>
        <v>-29899.451607648021</v>
      </c>
      <c r="D55" s="18">
        <f t="shared" si="23"/>
        <v>-30796.435155877458</v>
      </c>
      <c r="E55" s="18">
        <f t="shared" si="23"/>
        <v>-31720.32821055378</v>
      </c>
      <c r="F55" s="18">
        <f t="shared" si="23"/>
        <v>-32671.938056870396</v>
      </c>
      <c r="G55" s="18">
        <f t="shared" si="23"/>
        <v>-33652.09619857651</v>
      </c>
      <c r="H55" s="18">
        <f t="shared" si="23"/>
        <v>-34661.6590845338</v>
      </c>
      <c r="I55" s="18">
        <f t="shared" si="23"/>
        <v>-35701.508857069814</v>
      </c>
      <c r="J55" s="18">
        <f t="shared" si="23"/>
        <v>-36772.554122781912</v>
      </c>
      <c r="K55" s="19">
        <f t="shared" si="23"/>
        <v>-37875.730746465364</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4">SUM(B52:B56)</f>
        <v>317666.58313076745</v>
      </c>
      <c r="C57" s="18">
        <f t="shared" si="24"/>
        <v>317596.73577008338</v>
      </c>
      <c r="D57" s="18">
        <f t="shared" si="24"/>
        <v>317331.97869148682</v>
      </c>
      <c r="E57" s="18">
        <f t="shared" si="24"/>
        <v>316864.05231749819</v>
      </c>
      <c r="F57" s="18">
        <f t="shared" si="24"/>
        <v>316181.33843759511</v>
      </c>
      <c r="G57" s="18">
        <f t="shared" si="24"/>
        <v>315274.8478323064</v>
      </c>
      <c r="H57" s="18">
        <f t="shared" si="24"/>
        <v>314134.20749369124</v>
      </c>
      <c r="I57" s="18">
        <f t="shared" si="24"/>
        <v>312746.64742944558</v>
      </c>
      <c r="J57" s="18">
        <f t="shared" si="24"/>
        <v>311100.98703749134</v>
      </c>
      <c r="K57" s="1156">
        <f t="shared" si="24"/>
        <v>309185.6210374817</v>
      </c>
      <c r="N57" s="3452"/>
      <c r="O57" s="3454"/>
      <c r="Z57" s="1631" t="s">
        <v>4359</v>
      </c>
      <c r="AA57" s="1633">
        <v>57</v>
      </c>
    </row>
    <row r="58" spans="1:27" ht="13.35" customHeight="1">
      <c r="A58" s="17" t="str">
        <f>$A26</f>
        <v>Mortgage A</v>
      </c>
      <c r="B58" s="341">
        <f>IF('Part II-Sources of Funds'!$P$40="", 0,-'Part II-Sources of Funds'!$P$40)</f>
        <v>-223040.9030825861</v>
      </c>
      <c r="C58" s="341">
        <f>IF('Part II-Sources of Funds'!$P$40="", 0,-'Part II-Sources of Funds'!$P$40)</f>
        <v>-223040.9030825861</v>
      </c>
      <c r="D58" s="341">
        <f>IF('Part II-Sources of Funds'!$P$40="", 0,-'Part II-Sources of Funds'!$P$40)</f>
        <v>-223040.9030825861</v>
      </c>
      <c r="E58" s="341">
        <f>IF('Part II-Sources of Funds'!$P$40="", 0,-'Part II-Sources of Funds'!$P$40)</f>
        <v>-223040.9030825861</v>
      </c>
      <c r="F58" s="341">
        <f>IF('Part II-Sources of Funds'!$P$40="", 0,-'Part II-Sources of Funds'!$P$40)</f>
        <v>-223040.9030825861</v>
      </c>
      <c r="G58" s="341">
        <f>IF('Part II-Sources of Funds'!$P$40="", 0,-'Part II-Sources of Funds'!$P$40)</f>
        <v>-223040.9030825861</v>
      </c>
      <c r="H58" s="341">
        <f>IF('Part II-Sources of Funds'!$P$40="", 0,-'Part II-Sources of Funds'!$P$40)</f>
        <v>-223040.9030825861</v>
      </c>
      <c r="I58" s="341">
        <f>IF('Part II-Sources of Funds'!$P$40="", 0,-'Part II-Sources of Funds'!$P$40)</f>
        <v>-223040.9030825861</v>
      </c>
      <c r="J58" s="341">
        <f>IF('Part II-Sources of Funds'!$P$40="", 0,-'Part II-Sources of Funds'!$P$40)</f>
        <v>-223040.9030825861</v>
      </c>
      <c r="K58" s="341">
        <f>IF('Part II-Sources of Funds'!$P$40="", 0,-'Part II-Sources of Funds'!$P$40)</f>
        <v>-223040.9030825861</v>
      </c>
      <c r="N58" s="3452"/>
      <c r="O58" s="3454"/>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f>+K31*(1+$B$7)</f>
        <v>-6719.5818967206096</v>
      </c>
      <c r="C63" s="178">
        <f t="shared" ref="C63:F63" si="25">+B63*(1+$B$7)</f>
        <v>-6921.1693536222283</v>
      </c>
      <c r="D63" s="178">
        <f t="shared" si="25"/>
        <v>-7128.8044342308949</v>
      </c>
      <c r="E63" s="178">
        <f t="shared" si="25"/>
        <v>-7342.6685672578224</v>
      </c>
      <c r="F63" s="178">
        <f t="shared" si="25"/>
        <v>-7562.9486242755574</v>
      </c>
      <c r="G63" s="178">
        <v>0</v>
      </c>
      <c r="H63" s="178">
        <v>0</v>
      </c>
      <c r="I63" s="178">
        <v>0</v>
      </c>
      <c r="J63" s="178">
        <v>0</v>
      </c>
      <c r="K63" s="178">
        <v>0</v>
      </c>
      <c r="N63" s="3452"/>
      <c r="O63" s="3454"/>
      <c r="Z63" s="1631" t="s">
        <v>4359</v>
      </c>
      <c r="AA63" s="1633">
        <v>63</v>
      </c>
    </row>
    <row r="64" spans="1:27" ht="13.35" customHeight="1">
      <c r="A64" s="340" t="s">
        <v>3274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4359</v>
      </c>
      <c r="AA64" s="1633">
        <v>64</v>
      </c>
    </row>
    <row r="65" spans="1:27" ht="13.35" customHeight="1">
      <c r="A65" s="17" t="s">
        <v>1095</v>
      </c>
      <c r="B65" s="18">
        <f t="shared" ref="B65:K65" si="26">SUM(B57:B64)</f>
        <v>87906.098151460741</v>
      </c>
      <c r="C65" s="18">
        <f t="shared" si="26"/>
        <v>87634.663333875054</v>
      </c>
      <c r="D65" s="18">
        <f t="shared" si="26"/>
        <v>87162.271174669819</v>
      </c>
      <c r="E65" s="18">
        <f t="shared" si="26"/>
        <v>86480.480667654279</v>
      </c>
      <c r="F65" s="18">
        <f t="shared" si="26"/>
        <v>85577.486730733464</v>
      </c>
      <c r="G65" s="18">
        <f t="shared" si="26"/>
        <v>92233.944749720307</v>
      </c>
      <c r="H65" s="18">
        <f t="shared" si="26"/>
        <v>91093.304411105142</v>
      </c>
      <c r="I65" s="18">
        <f t="shared" si="26"/>
        <v>89705.744346859487</v>
      </c>
      <c r="J65" s="18">
        <f t="shared" si="26"/>
        <v>88060.083954905247</v>
      </c>
      <c r="K65" s="496">
        <f t="shared" si="26"/>
        <v>86144.717954895605</v>
      </c>
      <c r="N65" s="3452"/>
      <c r="O65" s="3454"/>
      <c r="Z65" s="1631" t="s">
        <v>4359</v>
      </c>
      <c r="AA65" s="1633">
        <v>65</v>
      </c>
    </row>
    <row r="66" spans="1:27" ht="13.35" customHeight="1">
      <c r="A66" s="17" t="str">
        <f>$A34</f>
        <v>DCR Mortgage A</v>
      </c>
      <c r="B66" s="20">
        <f t="shared" ref="B66:K66" si="27">IF(B58=0,"",-B57/B58)</f>
        <v>1.4242525865901108</v>
      </c>
      <c r="C66" s="20">
        <f t="shared" si="27"/>
        <v>1.4239394271663515</v>
      </c>
      <c r="D66" s="20">
        <f t="shared" si="27"/>
        <v>1.4227523934208035</v>
      </c>
      <c r="E66" s="20">
        <f t="shared" si="27"/>
        <v>1.4206544536818517</v>
      </c>
      <c r="F66" s="20">
        <f t="shared" si="27"/>
        <v>1.4175935179051962</v>
      </c>
      <c r="G66" s="20">
        <f t="shared" si="27"/>
        <v>1.4135292830820745</v>
      </c>
      <c r="H66" s="20">
        <f t="shared" si="27"/>
        <v>1.4084152420122498</v>
      </c>
      <c r="I66" s="20">
        <f t="shared" si="27"/>
        <v>1.4021941406578857</v>
      </c>
      <c r="J66" s="20">
        <f t="shared" si="27"/>
        <v>1.3948158509845119</v>
      </c>
      <c r="K66" s="21">
        <f t="shared" si="27"/>
        <v>1.3862283409200442</v>
      </c>
      <c r="N66" s="3452"/>
      <c r="O66" s="3454"/>
      <c r="Z66" s="1631" t="s">
        <v>4359</v>
      </c>
      <c r="AA66" s="1633">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452"/>
      <c r="O67" s="3454"/>
      <c r="Z67" s="1631" t="s">
        <v>4359</v>
      </c>
      <c r="AA67" s="1633">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452"/>
      <c r="O68" s="3454"/>
      <c r="Z68" s="1631" t="s">
        <v>4359</v>
      </c>
      <c r="AA68" s="1633">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452"/>
      <c r="O69" s="3454"/>
      <c r="Z69" s="1631" t="s">
        <v>4359</v>
      </c>
      <c r="AA69" s="1633">
        <v>69</v>
      </c>
    </row>
    <row r="70" spans="1:27" ht="13.35" customHeight="1">
      <c r="A70" s="340" t="s">
        <v>3129</v>
      </c>
      <c r="B70" s="20">
        <f t="shared" ref="B70:K70" si="31">IF(AND(B58=0,B59=0,B60=0,B61=0),"",-B57/(B58+B59+B60+B61))</f>
        <v>1.4242525865901108</v>
      </c>
      <c r="C70" s="20">
        <f t="shared" si="31"/>
        <v>1.4239394271663515</v>
      </c>
      <c r="D70" s="20">
        <f t="shared" si="31"/>
        <v>1.4227523934208035</v>
      </c>
      <c r="E70" s="20">
        <f t="shared" si="31"/>
        <v>1.4206544536818517</v>
      </c>
      <c r="F70" s="20">
        <f t="shared" si="31"/>
        <v>1.4175935179051962</v>
      </c>
      <c r="G70" s="20">
        <f t="shared" si="31"/>
        <v>1.4135292830820745</v>
      </c>
      <c r="H70" s="20">
        <f t="shared" si="31"/>
        <v>1.4084152420122498</v>
      </c>
      <c r="I70" s="20">
        <f t="shared" si="31"/>
        <v>1.4021941406578857</v>
      </c>
      <c r="J70" s="20">
        <f t="shared" si="31"/>
        <v>1.3948158509845119</v>
      </c>
      <c r="K70" s="21">
        <f t="shared" si="31"/>
        <v>1.3862283409200442</v>
      </c>
      <c r="N70" s="3452"/>
      <c r="O70" s="3454"/>
      <c r="Z70" s="1631" t="s">
        <v>4359</v>
      </c>
      <c r="AA70" s="1633">
        <v>70</v>
      </c>
    </row>
    <row r="71" spans="1:27" ht="13.35" customHeight="1">
      <c r="A71" s="17" t="s">
        <v>717</v>
      </c>
      <c r="B71" s="220">
        <f t="shared" ref="B71:K71" si="32">IF(OR(B54="Choose mgt fee",B54="Choose One!"),"",(B47+B48+B49+B50+B51) / -(B53+B54+B55))</f>
        <v>1.45845625000284</v>
      </c>
      <c r="C71" s="220">
        <f t="shared" si="32"/>
        <v>1.4453209343419258</v>
      </c>
      <c r="D71" s="220">
        <f t="shared" si="32"/>
        <v>1.4322931746891434</v>
      </c>
      <c r="E71" s="220">
        <f t="shared" si="32"/>
        <v>1.4193750423165115</v>
      </c>
      <c r="F71" s="220">
        <f t="shared" si="32"/>
        <v>1.4065627935914902</v>
      </c>
      <c r="G71" s="220">
        <f t="shared" si="32"/>
        <v>1.3938583625792185</v>
      </c>
      <c r="H71" s="220">
        <f t="shared" si="32"/>
        <v>1.381261639994368</v>
      </c>
      <c r="I71" s="220">
        <f t="shared" si="32"/>
        <v>1.3687692042049044</v>
      </c>
      <c r="J71" s="220">
        <f t="shared" si="32"/>
        <v>1.3563811452368659</v>
      </c>
      <c r="K71" s="221">
        <f t="shared" si="32"/>
        <v>1.3440974559929786</v>
      </c>
      <c r="N71" s="3452"/>
      <c r="O71" s="3454"/>
      <c r="Z71" s="1631" t="s">
        <v>4359</v>
      </c>
      <c r="AA71" s="1633">
        <v>71</v>
      </c>
    </row>
    <row r="72" spans="1:27" ht="13.35" customHeight="1">
      <c r="A72" s="340" t="s">
        <v>2399</v>
      </c>
      <c r="B72" s="177">
        <f>IF('Part II-Sources of Funds'!$I$40="","",-FV('Part II-Sources of Funds'!$K$40/12,12,B58/12,K40))</f>
        <v>2654103.8036142113</v>
      </c>
      <c r="C72" s="177">
        <f>IF('Part II-Sources of Funds'!$I$40="","",-FV('Part II-Sources of Funds'!$K$40/12,12,C58/12,B72))</f>
        <v>2627091.0111822318</v>
      </c>
      <c r="D72" s="177">
        <f>IF('Part II-Sources of Funds'!$I$40="","",-FV('Part II-Sources of Funds'!$K$40/12,12,D58/12,C72))</f>
        <v>2598004.2802873845</v>
      </c>
      <c r="E72" s="177">
        <f>IF('Part II-Sources of Funds'!$I$40="","",-FV('Part II-Sources of Funds'!$K$40/12,12,E58/12,D72))</f>
        <v>2566684.3818992535</v>
      </c>
      <c r="F72" s="177">
        <f>IF('Part II-Sources of Funds'!$I$40="","",-FV('Part II-Sources of Funds'!$K$40/12,12,F58/12,E72))</f>
        <v>2532959.8619939717</v>
      </c>
      <c r="G72" s="177">
        <f>IF('Part II-Sources of Funds'!$I$40="","",-FV('Part II-Sources of Funds'!$K$40/12,12,G58/12,F72))</f>
        <v>2496646.1029661731</v>
      </c>
      <c r="H72" s="177">
        <f>IF('Part II-Sources of Funds'!$I$40="","",-FV('Part II-Sources of Funds'!$K$40/12,12,H58/12,G72))</f>
        <v>2457544.3129797569</v>
      </c>
      <c r="I72" s="177">
        <f>IF('Part II-Sources of Funds'!$I$40="","",-FV('Part II-Sources of Funds'!$K$40/12,12,I58/12,H72))</f>
        <v>2415440.4377248879</v>
      </c>
      <c r="J72" s="177">
        <f>IF('Part II-Sources of Funds'!$I$40="","",-FV('Part II-Sources of Funds'!$K$40/12,12,J58/12,I72))</f>
        <v>2370103.9886238775</v>
      </c>
      <c r="K72" s="177">
        <f>IF('Part II-Sources of Funds'!$I$40="","",-FV('Part II-Sources of Funds'!$K$40/12,12,K58/12,J72))</f>
        <v>2321286.7810712112</v>
      </c>
      <c r="N72" s="3452"/>
      <c r="O72" s="3454"/>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3275</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01" t="s">
        <v>2403</v>
      </c>
      <c r="O78" s="3101"/>
      <c r="AA78" s="1633">
        <v>78</v>
      </c>
    </row>
    <row r="79" spans="1:27" ht="13.35" customHeight="1">
      <c r="A79" s="14" t="s">
        <v>2209</v>
      </c>
      <c r="B79" s="15">
        <f t="shared" ref="B79:K79" si="34">$B$15*(1+$B$6)^(B78-1)</f>
        <v>1313904.4064719803</v>
      </c>
      <c r="C79" s="15">
        <f t="shared" si="34"/>
        <v>1340182.4946014199</v>
      </c>
      <c r="D79" s="15">
        <f t="shared" si="34"/>
        <v>1366986.1444934483</v>
      </c>
      <c r="E79" s="15">
        <f t="shared" si="34"/>
        <v>1394325.8673833171</v>
      </c>
      <c r="F79" s="15">
        <f t="shared" si="34"/>
        <v>1422212.3847309835</v>
      </c>
      <c r="G79" s="15">
        <f t="shared" si="34"/>
        <v>1450656.6324256032</v>
      </c>
      <c r="H79" s="15">
        <f t="shared" si="34"/>
        <v>1479669.7650741155</v>
      </c>
      <c r="I79" s="15">
        <f t="shared" si="34"/>
        <v>1509263.1603755974</v>
      </c>
      <c r="J79" s="15">
        <f t="shared" si="34"/>
        <v>1539448.4235831096</v>
      </c>
      <c r="K79" s="16">
        <f t="shared" si="34"/>
        <v>1570237.3920547715</v>
      </c>
      <c r="N79" s="3476"/>
      <c r="O79" s="3478"/>
      <c r="Z79" s="1631" t="s">
        <v>4360</v>
      </c>
      <c r="AA79" s="1633">
        <v>79</v>
      </c>
    </row>
    <row r="80" spans="1:27" ht="13.35" customHeight="1">
      <c r="A80" s="17" t="s">
        <v>951</v>
      </c>
      <c r="B80" s="18">
        <f t="shared" ref="B80:K80" si="35">$B$16*(1+$B$6)^(B78-1)</f>
        <v>10698.821251044152</v>
      </c>
      <c r="C80" s="18">
        <f t="shared" si="35"/>
        <v>10912.797676065034</v>
      </c>
      <c r="D80" s="18">
        <f t="shared" si="35"/>
        <v>11131.053629586335</v>
      </c>
      <c r="E80" s="18">
        <f t="shared" si="35"/>
        <v>11353.674702178059</v>
      </c>
      <c r="F80" s="18">
        <f t="shared" si="35"/>
        <v>11580.748196221622</v>
      </c>
      <c r="G80" s="18">
        <f t="shared" si="35"/>
        <v>11812.363160146055</v>
      </c>
      <c r="H80" s="18">
        <f t="shared" si="35"/>
        <v>12048.610423348977</v>
      </c>
      <c r="I80" s="18">
        <f t="shared" si="35"/>
        <v>12289.582631815954</v>
      </c>
      <c r="J80" s="18">
        <f t="shared" si="35"/>
        <v>12535.374284452275</v>
      </c>
      <c r="K80" s="19">
        <f t="shared" si="35"/>
        <v>12786.08177014132</v>
      </c>
      <c r="N80" s="3452"/>
      <c r="O80" s="3454"/>
      <c r="Z80" s="1631" t="s">
        <v>4360</v>
      </c>
      <c r="AA80" s="1633">
        <v>80</v>
      </c>
    </row>
    <row r="81" spans="1:27" ht="13.35" customHeight="1">
      <c r="A81" s="17" t="s">
        <v>2210</v>
      </c>
      <c r="B81" s="18">
        <f t="shared" ref="B81:K81" si="36">-(B79+B80)*$B$9</f>
        <v>-92722.225940611708</v>
      </c>
      <c r="C81" s="18">
        <f t="shared" si="36"/>
        <v>-94576.670459423956</v>
      </c>
      <c r="D81" s="18">
        <f t="shared" si="36"/>
        <v>-96468.203868612429</v>
      </c>
      <c r="E81" s="18">
        <f t="shared" si="36"/>
        <v>-98397.567945984658</v>
      </c>
      <c r="F81" s="18">
        <f t="shared" si="36"/>
        <v>-100365.51930490437</v>
      </c>
      <c r="G81" s="18">
        <f t="shared" si="36"/>
        <v>-102372.82969100247</v>
      </c>
      <c r="H81" s="18">
        <f t="shared" si="36"/>
        <v>-104420.28628482253</v>
      </c>
      <c r="I81" s="18">
        <f t="shared" si="36"/>
        <v>-106508.69201051895</v>
      </c>
      <c r="J81" s="18">
        <f t="shared" si="36"/>
        <v>-108638.86585072934</v>
      </c>
      <c r="K81" s="19">
        <f t="shared" si="36"/>
        <v>-110811.64316774391</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7">SUM(B79:B83)</f>
        <v>1231881.0017824126</v>
      </c>
      <c r="C84" s="18">
        <f t="shared" si="37"/>
        <v>1256518.621818061</v>
      </c>
      <c r="D84" s="18">
        <f t="shared" si="37"/>
        <v>1281648.9942544221</v>
      </c>
      <c r="E84" s="18">
        <f t="shared" si="37"/>
        <v>1307281.9741395104</v>
      </c>
      <c r="F84" s="18">
        <f t="shared" si="37"/>
        <v>1333427.6136223008</v>
      </c>
      <c r="G84" s="18">
        <f t="shared" si="37"/>
        <v>1360096.165894747</v>
      </c>
      <c r="H84" s="18">
        <f t="shared" si="37"/>
        <v>1387298.0892126421</v>
      </c>
      <c r="I84" s="18">
        <f t="shared" si="37"/>
        <v>1415044.0509968945</v>
      </c>
      <c r="J84" s="18">
        <f t="shared" si="37"/>
        <v>1443344.9320168325</v>
      </c>
      <c r="K84" s="19">
        <f t="shared" si="37"/>
        <v>1472211.830657169</v>
      </c>
      <c r="N84" s="3452"/>
      <c r="O84" s="3454"/>
      <c r="Z84" s="1631" t="s">
        <v>4360</v>
      </c>
      <c r="AA84" s="1633">
        <v>84</v>
      </c>
    </row>
    <row r="85" spans="1:27" ht="13.35" customHeight="1">
      <c r="A85" s="17" t="s">
        <v>571</v>
      </c>
      <c r="B85" s="18">
        <f t="shared" ref="B85:K85" si="38">$B$21*(1+$B$7)^(B78-1)</f>
        <v>-824287.49416830414</v>
      </c>
      <c r="C85" s="18">
        <f t="shared" si="38"/>
        <v>-849016.11899335322</v>
      </c>
      <c r="D85" s="18">
        <f t="shared" si="38"/>
        <v>-874486.60256315384</v>
      </c>
      <c r="E85" s="18">
        <f t="shared" si="38"/>
        <v>-900721.2006400486</v>
      </c>
      <c r="F85" s="18">
        <f t="shared" si="38"/>
        <v>-927742.83665924985</v>
      </c>
      <c r="G85" s="18">
        <f t="shared" si="38"/>
        <v>-955575.12175902736</v>
      </c>
      <c r="H85" s="18">
        <f t="shared" si="38"/>
        <v>-984242.37541179836</v>
      </c>
      <c r="I85" s="18">
        <f t="shared" si="38"/>
        <v>-1013769.6466741521</v>
      </c>
      <c r="J85" s="18">
        <f t="shared" si="38"/>
        <v>-1044182.7360743767</v>
      </c>
      <c r="K85" s="19">
        <f t="shared" si="38"/>
        <v>-1075508.2181566078</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-61594</v>
      </c>
      <c r="C86" s="18">
        <f>IF(AND('Part VI-Pro Forma'!$G$9="Yes",'Part VI-Pro Forma'!$G$10="Yes"),"Choose One!",IF('Part VI-Pro Forma'!$G$9="Yes",ROUND((-$K$9*(1+'Part VI-Pro Forma'!$B$7)^('Part VI-Pro Forma'!C78-1)),),IF('Part VI-Pro Forma'!$G$10="Yes",ROUND((-(SUM(C79:C82)*'Part VI-Pro Forma'!$K$10)),),"Choose mgt fee")))</f>
        <v>-62826</v>
      </c>
      <c r="D86" s="18">
        <f>IF(AND('Part VI-Pro Forma'!$G$9="Yes",'Part VI-Pro Forma'!$G$10="Yes"),"Choose One!",IF('Part VI-Pro Forma'!$G$9="Yes",ROUND((-$K$9*(1+'Part VI-Pro Forma'!$B$7)^('Part VI-Pro Forma'!D78-1)),),IF('Part VI-Pro Forma'!$G$10="Yes",ROUND((-(SUM(D79:D82)*'Part VI-Pro Forma'!$K$10)),),"Choose mgt fee")))</f>
        <v>-64082</v>
      </c>
      <c r="E86" s="18">
        <f>IF(AND('Part VI-Pro Forma'!$G$9="Yes",'Part VI-Pro Forma'!$G$10="Yes"),"Choose One!",IF('Part VI-Pro Forma'!$G$9="Yes",ROUND((-$K$9*(1+'Part VI-Pro Forma'!$B$7)^('Part VI-Pro Forma'!E78-1)),),IF('Part VI-Pro Forma'!$G$10="Yes",ROUND((-(SUM(E79:E82)*'Part VI-Pro Forma'!$K$10)),),"Choose mgt fee")))</f>
        <v>-65364</v>
      </c>
      <c r="F86" s="18">
        <f>IF(AND('Part VI-Pro Forma'!$G$9="Yes",'Part VI-Pro Forma'!$G$10="Yes"),"Choose One!",IF('Part VI-Pro Forma'!$G$9="Yes",ROUND((-$K$9*(1+'Part VI-Pro Forma'!$B$7)^('Part VI-Pro Forma'!F78-1)),),IF('Part VI-Pro Forma'!$G$10="Yes",ROUND((-(SUM(F79:F82)*'Part VI-Pro Forma'!$K$10)),),"Choose mgt fee")))</f>
        <v>-66671</v>
      </c>
      <c r="G86" s="18">
        <f>IF(AND('Part VI-Pro Forma'!$G$9="Yes",'Part VI-Pro Forma'!$G$10="Yes"),"Choose One!",IF('Part VI-Pro Forma'!$G$9="Yes",ROUND((-$K$9*(1+'Part VI-Pro Forma'!$B$7)^('Part VI-Pro Forma'!G78-1)),),IF('Part VI-Pro Forma'!$G$10="Yes",ROUND((-(SUM(G79:G82)*'Part VI-Pro Forma'!$K$10)),),"Choose mgt fee")))</f>
        <v>-68005</v>
      </c>
      <c r="H86" s="18">
        <f>IF(AND('Part VI-Pro Forma'!$G$9="Yes",'Part VI-Pro Forma'!$G$10="Yes"),"Choose One!",IF('Part VI-Pro Forma'!$G$9="Yes",ROUND((-$K$9*(1+'Part VI-Pro Forma'!$B$7)^('Part VI-Pro Forma'!H78-1)),),IF('Part VI-Pro Forma'!$G$10="Yes",ROUND((-(SUM(H79:H82)*'Part VI-Pro Forma'!$K$10)),),"Choose mgt fee")))</f>
        <v>-69365</v>
      </c>
      <c r="I86" s="18">
        <f>IF(AND('Part VI-Pro Forma'!$G$9="Yes",'Part VI-Pro Forma'!$G$10="Yes"),"Choose One!",IF('Part VI-Pro Forma'!$G$9="Yes",ROUND((-$K$9*(1+'Part VI-Pro Forma'!$B$7)^('Part VI-Pro Forma'!I78-1)),),IF('Part VI-Pro Forma'!$G$10="Yes",ROUND((-(SUM(I79:I82)*'Part VI-Pro Forma'!$K$10)),),"Choose mgt fee")))</f>
        <v>-70752</v>
      </c>
      <c r="J86" s="18">
        <f>IF(AND('Part VI-Pro Forma'!$G$9="Yes",'Part VI-Pro Forma'!$G$10="Yes"),"Choose One!",IF('Part VI-Pro Forma'!$G$9="Yes",ROUND((-$K$9*(1+'Part VI-Pro Forma'!$B$7)^('Part VI-Pro Forma'!J78-1)),),IF('Part VI-Pro Forma'!$G$10="Yes",ROUND((-(SUM(J79:J82)*'Part VI-Pro Forma'!$K$10)),),"Choose mgt fee")))</f>
        <v>-72167</v>
      </c>
      <c r="K86" s="19">
        <f>IF(AND('Part VI-Pro Forma'!$G$9="Yes",'Part VI-Pro Forma'!$G$10="Yes"),"Choose One!",IF('Part VI-Pro Forma'!$G$9="Yes",ROUND((-$K$9*(1+'Part VI-Pro Forma'!$B$7)^('Part VI-Pro Forma'!K78-1)),),IF('Part VI-Pro Forma'!$G$10="Yes",ROUND((-(SUM(K79:K82)*'Part VI-Pro Forma'!$K$10)),),"Choose mgt fee")))</f>
        <v>-73611</v>
      </c>
      <c r="N86" s="3452"/>
      <c r="O86" s="3454"/>
      <c r="Z86" s="1631" t="s">
        <v>4360</v>
      </c>
      <c r="AA86" s="1633">
        <v>86</v>
      </c>
    </row>
    <row r="87" spans="1:27" ht="13.35" customHeight="1">
      <c r="A87" s="17" t="s">
        <v>1127</v>
      </c>
      <c r="B87" s="18">
        <f t="shared" ref="B87:K87" si="39">$B$23*(1+$B$8)^(B78-1)</f>
        <v>-39012.002668859328</v>
      </c>
      <c r="C87" s="18">
        <f t="shared" si="39"/>
        <v>-40182.362748925101</v>
      </c>
      <c r="D87" s="18">
        <f t="shared" si="39"/>
        <v>-41387.833631392859</v>
      </c>
      <c r="E87" s="18">
        <f t="shared" si="39"/>
        <v>-42629.46864033465</v>
      </c>
      <c r="F87" s="18">
        <f t="shared" si="39"/>
        <v>-43908.352699544681</v>
      </c>
      <c r="G87" s="18">
        <f t="shared" si="39"/>
        <v>-45225.603280531017</v>
      </c>
      <c r="H87" s="18">
        <f t="shared" si="39"/>
        <v>-46582.371378946955</v>
      </c>
      <c r="I87" s="18">
        <f t="shared" si="39"/>
        <v>-47979.84252031536</v>
      </c>
      <c r="J87" s="18">
        <f t="shared" si="39"/>
        <v>-49419.237795924819</v>
      </c>
      <c r="K87" s="19">
        <f t="shared" si="39"/>
        <v>-50901.81492980256</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40">SUM(B84:B88)</f>
        <v>306987.50494524918</v>
      </c>
      <c r="C89" s="18">
        <f t="shared" si="40"/>
        <v>304494.14007578266</v>
      </c>
      <c r="D89" s="18">
        <f t="shared" si="40"/>
        <v>301692.55805987545</v>
      </c>
      <c r="E89" s="18">
        <f t="shared" si="40"/>
        <v>298567.30485912715</v>
      </c>
      <c r="F89" s="18">
        <f t="shared" si="40"/>
        <v>295105.42426350625</v>
      </c>
      <c r="G89" s="18">
        <f t="shared" si="40"/>
        <v>291290.44085518864</v>
      </c>
      <c r="H89" s="18">
        <f t="shared" si="40"/>
        <v>287108.34242189676</v>
      </c>
      <c r="I89" s="18">
        <f t="shared" si="40"/>
        <v>282542.56180242699</v>
      </c>
      <c r="J89" s="18">
        <f t="shared" si="40"/>
        <v>277575.95814653096</v>
      </c>
      <c r="K89" s="1156">
        <f t="shared" si="40"/>
        <v>272190.79757075862</v>
      </c>
      <c r="N89" s="3452"/>
      <c r="O89" s="3454"/>
      <c r="Z89" s="1631" t="s">
        <v>4360</v>
      </c>
      <c r="AA89" s="1633">
        <v>89</v>
      </c>
    </row>
    <row r="90" spans="1:27" ht="13.35" customHeight="1">
      <c r="A90" s="17" t="str">
        <f>$A58</f>
        <v>Mortgage A</v>
      </c>
      <c r="B90" s="341">
        <f>IF('Part II-Sources of Funds'!$P$40="", 0,-'Part II-Sources of Funds'!$P$40)</f>
        <v>-223040.9030825861</v>
      </c>
      <c r="C90" s="341">
        <f>IF('Part II-Sources of Funds'!$P$40="", 0,-'Part II-Sources of Funds'!$P$40)</f>
        <v>-223040.9030825861</v>
      </c>
      <c r="D90" s="341">
        <f>IF('Part II-Sources of Funds'!$P$40="", 0,-'Part II-Sources of Funds'!$P$40)</f>
        <v>-223040.9030825861</v>
      </c>
      <c r="E90" s="341">
        <f>IF('Part II-Sources of Funds'!$P$40="", 0,-'Part II-Sources of Funds'!$P$40)</f>
        <v>-223040.9030825861</v>
      </c>
      <c r="F90" s="341">
        <f>IF('Part II-Sources of Funds'!$P$40="", 0,-'Part II-Sources of Funds'!$P$40)</f>
        <v>-223040.9030825861</v>
      </c>
      <c r="G90" s="341">
        <f>IF('Part II-Sources of Funds'!$P$40="", 0,-'Part II-Sources of Funds'!$P$40)</f>
        <v>-223040.9030825861</v>
      </c>
      <c r="H90" s="341">
        <f>IF('Part II-Sources of Funds'!$P$40="", 0,-'Part II-Sources of Funds'!$P$40)</f>
        <v>-223040.9030825861</v>
      </c>
      <c r="I90" s="341">
        <f>IF('Part II-Sources of Funds'!$P$40="", 0,-'Part II-Sources of Funds'!$P$40)</f>
        <v>-223040.9030825861</v>
      </c>
      <c r="J90" s="341">
        <f>IF('Part II-Sources of Funds'!$P$40="", 0,-'Part II-Sources of Funds'!$P$40)</f>
        <v>-223040.9030825861</v>
      </c>
      <c r="K90" s="341">
        <f>IF('Part II-Sources of Funds'!$P$40="", 0,-'Part II-Sources of Funds'!$P$40)</f>
        <v>-223040.9030825861</v>
      </c>
      <c r="N90" s="3452"/>
      <c r="O90" s="3454"/>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452"/>
      <c r="O95" s="3454"/>
      <c r="Z95" s="1631" t="s">
        <v>4360</v>
      </c>
      <c r="AA95" s="1633">
        <v>95</v>
      </c>
    </row>
    <row r="96" spans="1:27" ht="13.35" customHeight="1">
      <c r="A96" s="17" t="s">
        <v>1095</v>
      </c>
      <c r="B96" s="18">
        <f t="shared" ref="B96:K96" si="42">SUM(B89:B95)</f>
        <v>83946.601862663083</v>
      </c>
      <c r="C96" s="18">
        <f t="shared" si="42"/>
        <v>81453.236993196566</v>
      </c>
      <c r="D96" s="18">
        <f t="shared" si="42"/>
        <v>78651.654977289349</v>
      </c>
      <c r="E96" s="18">
        <f t="shared" si="42"/>
        <v>75526.401776541054</v>
      </c>
      <c r="F96" s="18">
        <f t="shared" si="42"/>
        <v>72064.521180920157</v>
      </c>
      <c r="G96" s="18">
        <f t="shared" si="42"/>
        <v>68249.537772602547</v>
      </c>
      <c r="H96" s="18">
        <f t="shared" si="42"/>
        <v>64067.439339310658</v>
      </c>
      <c r="I96" s="18">
        <f t="shared" si="42"/>
        <v>59501.658719840896</v>
      </c>
      <c r="J96" s="18">
        <f t="shared" si="42"/>
        <v>54535.055063944863</v>
      </c>
      <c r="K96" s="19">
        <f t="shared" si="42"/>
        <v>49149.894488172518</v>
      </c>
      <c r="N96" s="3452"/>
      <c r="O96" s="3454"/>
      <c r="Z96" s="1631" t="s">
        <v>4360</v>
      </c>
      <c r="AA96" s="1633">
        <v>96</v>
      </c>
    </row>
    <row r="97" spans="1:27" ht="13.35" customHeight="1">
      <c r="A97" s="17" t="str">
        <f>$A66</f>
        <v>DCR Mortgage A</v>
      </c>
      <c r="B97" s="20">
        <f t="shared" ref="B97:K97" si="43">IF(B90=0,"",-B89/B90)</f>
        <v>1.3763731257471634</v>
      </c>
      <c r="C97" s="20">
        <f t="shared" si="43"/>
        <v>1.3651941678295509</v>
      </c>
      <c r="D97" s="20">
        <f t="shared" si="43"/>
        <v>1.3526333237099866</v>
      </c>
      <c r="E97" s="20">
        <f t="shared" si="43"/>
        <v>1.3386213054767611</v>
      </c>
      <c r="F97" s="20">
        <f t="shared" si="43"/>
        <v>1.3231000241881041</v>
      </c>
      <c r="G97" s="20">
        <f t="shared" si="43"/>
        <v>1.305995612595469</v>
      </c>
      <c r="H97" s="20">
        <f t="shared" si="43"/>
        <v>1.2872452471894278</v>
      </c>
      <c r="I97" s="20">
        <f t="shared" si="43"/>
        <v>1.2667746493915917</v>
      </c>
      <c r="J97" s="20">
        <f t="shared" si="43"/>
        <v>1.244506968498742</v>
      </c>
      <c r="K97" s="21">
        <f t="shared" si="43"/>
        <v>1.220362694953641</v>
      </c>
      <c r="N97" s="3452"/>
      <c r="O97" s="3454"/>
      <c r="Z97" s="1631" t="s">
        <v>4360</v>
      </c>
      <c r="AA97" s="1633">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452"/>
      <c r="O98" s="3454"/>
      <c r="Z98" s="1631" t="s">
        <v>4360</v>
      </c>
      <c r="AA98" s="1633">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452"/>
      <c r="O99" s="3454"/>
      <c r="Z99" s="1631" t="s">
        <v>4360</v>
      </c>
      <c r="AA99" s="1633">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452"/>
      <c r="O100" s="3454"/>
      <c r="Z100" s="1631" t="s">
        <v>4360</v>
      </c>
      <c r="AA100" s="1633">
        <v>100</v>
      </c>
    </row>
    <row r="101" spans="1:27" ht="13.35" customHeight="1">
      <c r="A101" s="340" t="s">
        <v>3129</v>
      </c>
      <c r="B101" s="20">
        <f t="shared" ref="B101:K101" si="47">IF(AND(B90=0,B91=0,B92=0,B93=0),"",-B89/(B90+B91+B92+B93))</f>
        <v>1.3763731257471634</v>
      </c>
      <c r="C101" s="20">
        <f t="shared" si="47"/>
        <v>1.3651941678295509</v>
      </c>
      <c r="D101" s="20">
        <f t="shared" si="47"/>
        <v>1.3526333237099866</v>
      </c>
      <c r="E101" s="20">
        <f t="shared" si="47"/>
        <v>1.3386213054767611</v>
      </c>
      <c r="F101" s="20">
        <f t="shared" si="47"/>
        <v>1.3231000241881041</v>
      </c>
      <c r="G101" s="20">
        <f t="shared" si="47"/>
        <v>1.305995612595469</v>
      </c>
      <c r="H101" s="20">
        <f t="shared" si="47"/>
        <v>1.2872452471894278</v>
      </c>
      <c r="I101" s="20">
        <f t="shared" si="47"/>
        <v>1.2667746493915917</v>
      </c>
      <c r="J101" s="20">
        <f t="shared" si="47"/>
        <v>1.244506968498742</v>
      </c>
      <c r="K101" s="21">
        <f t="shared" si="47"/>
        <v>1.220362694953641</v>
      </c>
      <c r="N101" s="3452"/>
      <c r="O101" s="3454"/>
      <c r="Z101" s="1631" t="s">
        <v>4360</v>
      </c>
      <c r="AA101" s="1633">
        <v>101</v>
      </c>
    </row>
    <row r="102" spans="1:27" ht="13.35" customHeight="1">
      <c r="A102" s="17" t="s">
        <v>717</v>
      </c>
      <c r="B102" s="220">
        <f>IF(OR(B86="Choose mgt fee",B86="Choose One!"),"",(B79+B80+B81+B82+B83) / -(B85+B86+B87))</f>
        <v>1.331916600122119</v>
      </c>
      <c r="C102" s="220">
        <f t="shared" ref="C102:K102" si="48">IF(OR(C86="Choose mgt fee",C86="Choose One!"),"",(C79+C80+C81+C82+C83) / -(C85+C86+C87))</f>
        <v>1.3198385607884104</v>
      </c>
      <c r="D102" s="220">
        <f t="shared" si="48"/>
        <v>1.3078632344427825</v>
      </c>
      <c r="E102" s="220">
        <f t="shared" si="48"/>
        <v>1.2959878684743675</v>
      </c>
      <c r="F102" s="220">
        <f t="shared" si="48"/>
        <v>1.2842137318145399</v>
      </c>
      <c r="G102" s="220">
        <f t="shared" si="48"/>
        <v>1.272538249029689</v>
      </c>
      <c r="H102" s="220">
        <f t="shared" si="48"/>
        <v>1.2609625687381583</v>
      </c>
      <c r="I102" s="220">
        <f t="shared" si="48"/>
        <v>1.2494853777220158</v>
      </c>
      <c r="J102" s="220">
        <f t="shared" si="48"/>
        <v>1.2381054603168851</v>
      </c>
      <c r="K102" s="221">
        <f t="shared" si="48"/>
        <v>1.2268216890088115</v>
      </c>
      <c r="N102" s="3452"/>
      <c r="O102" s="3454"/>
      <c r="Z102" s="1631" t="s">
        <v>4360</v>
      </c>
      <c r="AA102" s="1633">
        <v>102</v>
      </c>
    </row>
    <row r="103" spans="1:27" ht="13.35" customHeight="1">
      <c r="A103" s="340" t="s">
        <v>2399</v>
      </c>
      <c r="B103" s="177">
        <f>IF('Part II-Sources of Funds'!$I$40="","",-FV('Part II-Sources of Funds'!$K$40/12,12,B90/12,K72))</f>
        <v>2268721.5758004924</v>
      </c>
      <c r="C103" s="177">
        <f>IF('Part II-Sources of Funds'!$I$40="","",-FV('Part II-Sources of Funds'!$K$40/12,12,C90/12,B103))</f>
        <v>2212120.615940758</v>
      </c>
      <c r="D103" s="177">
        <f>IF('Part II-Sources of Funds'!$I$40="","",-FV('Part II-Sources of Funds'!$K$40/12,12,D90/12,C103))</f>
        <v>2151174.0517535945</v>
      </c>
      <c r="E103" s="177">
        <f>IF('Part II-Sources of Funds'!$I$40="","",-FV('Part II-Sources of Funds'!$K$40/12,12,E90/12,D103))</f>
        <v>2085548.2444276221</v>
      </c>
      <c r="F103" s="177">
        <f>IF('Part II-Sources of Funds'!$I$40="","",-FV('Part II-Sources of Funds'!$K$40/12,12,F90/12,E103))</f>
        <v>2014883.9396448315</v>
      </c>
      <c r="G103" s="177">
        <f>IF('Part II-Sources of Funds'!$I$40="","",-FV('Part II-Sources of Funds'!$K$40/12,12,G90/12,F103))</f>
        <v>1938794.3009203577</v>
      </c>
      <c r="H103" s="177">
        <f>IF('Part II-Sources of Funds'!$I$40="","",-FV('Part II-Sources of Funds'!$K$40/12,12,H90/12,G103))</f>
        <v>1856862.7919496377</v>
      </c>
      <c r="I103" s="177">
        <f>IF('Part II-Sources of Funds'!$I$40="","",-FV('Part II-Sources of Funds'!$K$40/12,12,I90/12,H103))</f>
        <v>1768640.8963703113</v>
      </c>
      <c r="J103" s="177">
        <f>IF('Part II-Sources of Funds'!$I$40="","",-FV('Part II-Sources of Funds'!$K$40/12,12,J90/12,I103))</f>
        <v>1673645.6624562012</v>
      </c>
      <c r="K103" s="177">
        <f>IF('Part II-Sources of Funds'!$I$40="","",-FV('Part II-Sources of Funds'!$K$40/12,12,K90/12,J103))</f>
        <v>1571357.0593023242</v>
      </c>
      <c r="N103" s="3452"/>
      <c r="O103" s="3454"/>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1" t="s">
        <v>3121</v>
      </c>
      <c r="O108" s="3101"/>
      <c r="AA108" s="1633">
        <v>108</v>
      </c>
    </row>
    <row r="109" spans="1:27" ht="13.35" customHeight="1">
      <c r="A109" s="14" t="s">
        <v>2209</v>
      </c>
      <c r="B109" s="15">
        <f>$B$15*(1+$B$6)^(B108-1)</f>
        <v>1601642.1398958671</v>
      </c>
      <c r="C109" s="15">
        <f>$B$15*(1+$B$6)^(C108-1)</f>
        <v>1633674.9826937842</v>
      </c>
      <c r="D109" s="15">
        <f>$B$15*(1+$B$6)^(D108-1)</f>
        <v>1666348.4823476602</v>
      </c>
      <c r="E109" s="15">
        <f>$B$15*(1+$B$6)^(E108-1)</f>
        <v>1699675.4519946135</v>
      </c>
      <c r="F109" s="496">
        <f>$B$15*(1+$B$6)^(F108-1)</f>
        <v>1733668.9610345056</v>
      </c>
      <c r="G109" s="13"/>
      <c r="H109" s="13"/>
      <c r="I109" s="13"/>
      <c r="J109" s="13"/>
      <c r="K109" s="13"/>
      <c r="N109" s="3476"/>
      <c r="O109" s="3478"/>
      <c r="Z109" s="1631" t="s">
        <v>4361</v>
      </c>
      <c r="AA109" s="1633">
        <v>109</v>
      </c>
    </row>
    <row r="110" spans="1:27" ht="13.35" customHeight="1">
      <c r="A110" s="17" t="s">
        <v>951</v>
      </c>
      <c r="B110" s="18">
        <f>$B$16*(1+$B$6)^(B108-1)</f>
        <v>13041.803405544146</v>
      </c>
      <c r="C110" s="18">
        <f>$B$16*(1+$B$6)^(C108-1)</f>
        <v>13302.639473655026</v>
      </c>
      <c r="D110" s="18">
        <f>$B$16*(1+$B$6)^(D108-1)</f>
        <v>13568.69226312813</v>
      </c>
      <c r="E110" s="18">
        <f>$B$16*(1+$B$6)^(E108-1)</f>
        <v>13840.066108390693</v>
      </c>
      <c r="F110" s="19">
        <f>$B$16*(1+$B$6)^(F108-1)</f>
        <v>14116.867430558506</v>
      </c>
      <c r="G110" s="13"/>
      <c r="H110" s="13"/>
      <c r="I110" s="13"/>
      <c r="J110" s="13"/>
      <c r="K110" s="13"/>
      <c r="N110" s="3452"/>
      <c r="O110" s="3454"/>
      <c r="Z110" s="1631" t="s">
        <v>4361</v>
      </c>
      <c r="AA110" s="1633">
        <v>110</v>
      </c>
    </row>
    <row r="111" spans="1:27" ht="13.35" customHeight="1">
      <c r="A111" s="17" t="s">
        <v>2210</v>
      </c>
      <c r="B111" s="18">
        <f>-(B109+B110)*$B$9</f>
        <v>-113027.8760310988</v>
      </c>
      <c r="C111" s="18">
        <f>-(C109+C110)*$B$9</f>
        <v>-115288.43355172075</v>
      </c>
      <c r="D111" s="18">
        <f>-(D109+D110)*$B$9</f>
        <v>-117594.20222275521</v>
      </c>
      <c r="E111" s="18">
        <f>-(E109+E110)*$B$9</f>
        <v>-119946.08626721031</v>
      </c>
      <c r="F111" s="19">
        <f>-(F109+F110)*$B$9</f>
        <v>-122345.0079925545</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1501656.0672703125</v>
      </c>
      <c r="C114" s="18">
        <f>SUM(C109:C113)</f>
        <v>1531689.1886157184</v>
      </c>
      <c r="D114" s="18">
        <f>SUM(D109:D113)</f>
        <v>1562322.9723880333</v>
      </c>
      <c r="E114" s="18">
        <f>SUM(E109:E113)</f>
        <v>1593569.4318357939</v>
      </c>
      <c r="F114" s="19">
        <f>SUM(F109:F113)</f>
        <v>1625440.8204725096</v>
      </c>
      <c r="G114" s="13"/>
      <c r="H114" s="13"/>
      <c r="I114" s="13"/>
      <c r="J114" s="13"/>
      <c r="K114" s="13"/>
      <c r="N114" s="3452"/>
      <c r="O114" s="3454"/>
      <c r="Z114" s="1631" t="s">
        <v>4361</v>
      </c>
      <c r="AA114" s="1633">
        <v>114</v>
      </c>
    </row>
    <row r="115" spans="1:27" ht="13.35" customHeight="1">
      <c r="A115" s="17" t="s">
        <v>571</v>
      </c>
      <c r="B115" s="18">
        <f>$B$21*(1+$B$7)^(B108-1)</f>
        <v>-1107773.4647013061</v>
      </c>
      <c r="C115" s="18">
        <f>$B$21*(1+$B$7)^(C108-1)</f>
        <v>-1141006.6686423456</v>
      </c>
      <c r="D115" s="18">
        <f>$B$21*(1+$B$7)^(D108-1)</f>
        <v>-1175236.8687016156</v>
      </c>
      <c r="E115" s="18">
        <f>$B$21*(1+$B$7)^(E108-1)</f>
        <v>-1210493.9747626642</v>
      </c>
      <c r="F115" s="19">
        <f>$B$21*(1+$B$7)^(F108-1)</f>
        <v>-1246808.7940055439</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-75083</v>
      </c>
      <c r="C116" s="18">
        <f>IF(AND('Part VI-Pro Forma'!$G$9="Yes",'Part VI-Pro Forma'!$G$10="Yes"),"Choose One!",IF('Part VI-Pro Forma'!$G$9="Yes",ROUND((-$K$9*(1+'Part VI-Pro Forma'!$B$7)^('Part VI-Pro Forma'!C108-1)),),IF('Part VI-Pro Forma'!$G$10="Yes",ROUND((-(SUM(C109:C112)*'Part VI-Pro Forma'!$K$10)),),"Choose mgt fee")))</f>
        <v>-76584</v>
      </c>
      <c r="D116" s="18">
        <f>IF(AND('Part VI-Pro Forma'!$G$9="Yes",'Part VI-Pro Forma'!$G$10="Yes"),"Choose One!",IF('Part VI-Pro Forma'!$G$9="Yes",ROUND((-$K$9*(1+'Part VI-Pro Forma'!$B$7)^('Part VI-Pro Forma'!D108-1)),),IF('Part VI-Pro Forma'!$G$10="Yes",ROUND((-(SUM(D109:D112)*'Part VI-Pro Forma'!$K$10)),),"Choose mgt fee")))</f>
        <v>-78116</v>
      </c>
      <c r="E116" s="18">
        <f>IF(AND('Part VI-Pro Forma'!$G$9="Yes",'Part VI-Pro Forma'!$G$10="Yes"),"Choose One!",IF('Part VI-Pro Forma'!$G$9="Yes",ROUND((-$K$9*(1+'Part VI-Pro Forma'!$B$7)^('Part VI-Pro Forma'!E108-1)),),IF('Part VI-Pro Forma'!$G$10="Yes",ROUND((-(SUM(E109:E112)*'Part VI-Pro Forma'!$K$10)),),"Choose mgt fee")))</f>
        <v>-79678</v>
      </c>
      <c r="F116" s="19">
        <f>IF(AND('Part VI-Pro Forma'!$G$9="Yes",'Part VI-Pro Forma'!$G$10="Yes"),"Choose One!",IF('Part VI-Pro Forma'!$G$9="Yes",ROUND((-$K$9*(1+'Part VI-Pro Forma'!$B$7)^('Part VI-Pro Forma'!F108-1)),),IF('Part VI-Pro Forma'!$G$10="Yes",ROUND((-(SUM(F109:F112)*'Part VI-Pro Forma'!$K$10)),),"Choose mgt fee")))</f>
        <v>-81272</v>
      </c>
      <c r="G116" s="13"/>
      <c r="H116" s="13"/>
      <c r="I116" s="13"/>
      <c r="J116" s="13"/>
      <c r="K116" s="13"/>
      <c r="N116" s="3452"/>
      <c r="O116" s="3454"/>
      <c r="Z116" s="1631" t="s">
        <v>4361</v>
      </c>
      <c r="AA116" s="1633">
        <v>116</v>
      </c>
    </row>
    <row r="117" spans="1:27" ht="13.35" customHeight="1">
      <c r="A117" s="17" t="s">
        <v>1127</v>
      </c>
      <c r="B117" s="18">
        <f>$B$23*(1+$B$8)^(B108-1)</f>
        <v>-52428.869377696639</v>
      </c>
      <c r="C117" s="18">
        <f>$B$23*(1+$B$8)^(C108-1)</f>
        <v>-54001.735459027543</v>
      </c>
      <c r="D117" s="18">
        <f>$B$23*(1+$B$8)^(D108-1)</f>
        <v>-55621.78752279836</v>
      </c>
      <c r="E117" s="18">
        <f>$B$23*(1+$B$8)^(E108-1)</f>
        <v>-57290.441148482314</v>
      </c>
      <c r="F117" s="19">
        <f>$B$23*(1+$B$8)^(F108-1)</f>
        <v>-59009.154382936773</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266370.73319130973</v>
      </c>
      <c r="C119" s="18">
        <f>SUM(C114:C118)</f>
        <v>260096.78451434526</v>
      </c>
      <c r="D119" s="18">
        <f>SUM(D114:D118)</f>
        <v>253348.31616361934</v>
      </c>
      <c r="E119" s="18">
        <f>SUM(E114:E118)</f>
        <v>246107.01592464739</v>
      </c>
      <c r="F119" s="1156">
        <f>SUM(F114:F118)</f>
        <v>238350.8720840289</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-223040.9030825861</v>
      </c>
      <c r="C120" s="341">
        <f>IF('Part II-Sources of Funds'!$P$40="", 0,-'Part II-Sources of Funds'!$P$40)</f>
        <v>-223040.9030825861</v>
      </c>
      <c r="D120" s="341">
        <f>IF('Part II-Sources of Funds'!$P$40="", 0,-'Part II-Sources of Funds'!$P$40)</f>
        <v>-223040.9030825861</v>
      </c>
      <c r="E120" s="341">
        <f>IF('Part II-Sources of Funds'!$P$40="", 0,-'Part II-Sources of Funds'!$P$40)</f>
        <v>-223040.9030825861</v>
      </c>
      <c r="F120" s="341">
        <f>IF('Part II-Sources of Funds'!$P$40="", 0,-'Part II-Sources of Funds'!$P$40)</f>
        <v>-223040.9030825861</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0</v>
      </c>
      <c r="C125" s="179">
        <f>+B125</f>
        <v>0</v>
      </c>
      <c r="D125" s="179">
        <f>+C125</f>
        <v>0</v>
      </c>
      <c r="E125" s="179">
        <f>+D125</f>
        <v>0</v>
      </c>
      <c r="F125" s="179">
        <f>+E125</f>
        <v>0</v>
      </c>
      <c r="G125" s="13"/>
      <c r="H125" s="13"/>
      <c r="I125" s="13"/>
      <c r="J125" s="13"/>
      <c r="K125" s="13"/>
      <c r="N125" s="3452"/>
      <c r="O125" s="3454"/>
      <c r="Z125" s="1631" t="s">
        <v>4361</v>
      </c>
      <c r="AA125" s="1633">
        <v>125</v>
      </c>
    </row>
    <row r="126" spans="1:27" ht="13.35" customHeight="1">
      <c r="A126" s="17" t="s">
        <v>1095</v>
      </c>
      <c r="B126" s="18">
        <f>SUM(B119:B125)</f>
        <v>43329.830108723632</v>
      </c>
      <c r="C126" s="18">
        <f>SUM(C119:C125)</f>
        <v>37055.88143175916</v>
      </c>
      <c r="D126" s="18">
        <f>SUM(D119:D125)</f>
        <v>30307.413081033243</v>
      </c>
      <c r="E126" s="18">
        <f>SUM(E119:E125)</f>
        <v>23066.112842061295</v>
      </c>
      <c r="F126" s="19">
        <f>SUM(F119:F125)</f>
        <v>15309.969001442805</v>
      </c>
      <c r="G126" s="13"/>
      <c r="H126" s="13"/>
      <c r="I126" s="13"/>
      <c r="J126" s="13"/>
      <c r="K126" s="13"/>
      <c r="N126" s="3452"/>
      <c r="O126" s="3454"/>
      <c r="Z126" s="1631" t="s">
        <v>4361</v>
      </c>
      <c r="AA126" s="1633">
        <v>126</v>
      </c>
    </row>
    <row r="127" spans="1:27" ht="13.35" customHeight="1">
      <c r="A127" s="17" t="str">
        <f>$A97</f>
        <v>DCR Mortgage A</v>
      </c>
      <c r="B127" s="20">
        <f>IF(B120=0,"",-B119/B120)</f>
        <v>1.1942685377877964</v>
      </c>
      <c r="C127" s="20">
        <f>IF(C120=0,"",-C119/C120)</f>
        <v>1.1661393982880277</v>
      </c>
      <c r="D127" s="20">
        <f>IF(D120=0,"",-D119/D120)</f>
        <v>1.1358827581047375</v>
      </c>
      <c r="E127" s="20">
        <f>IF(E120=0,"",-E119/E120)</f>
        <v>1.1034165147435784</v>
      </c>
      <c r="F127" s="21">
        <f>IF(F120=0,"",-F119/F120)</f>
        <v>1.0686419790713182</v>
      </c>
      <c r="G127" s="13"/>
      <c r="H127" s="13"/>
      <c r="I127" s="13"/>
      <c r="J127" s="13"/>
      <c r="K127" s="13"/>
      <c r="N127" s="3452"/>
      <c r="O127" s="3454"/>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1.1942685377877964</v>
      </c>
      <c r="C131" s="20">
        <f>IF(AND(C120=0,C121=0,C122=0,C123=0),"",-C119/(C120+C121+C122+C123))</f>
        <v>1.1661393982880277</v>
      </c>
      <c r="D131" s="20">
        <f>IF(AND(D120=0,D121=0,D122=0,D123=0),"",-D119/(D120+D121+D122+D123))</f>
        <v>1.1358827581047375</v>
      </c>
      <c r="E131" s="20">
        <f>IF(AND(E120=0,E121=0,E122=0,E123=0),"",-E119/(E120+E121+E122+E123))</f>
        <v>1.1034165147435784</v>
      </c>
      <c r="F131" s="21">
        <f>IF(AND(F120=0,F121=0,F122=0,F123=0),"",-F119/(F120+F121+F122+F123))</f>
        <v>1.0686419790713182</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1.2156349839528444</v>
      </c>
      <c r="C132" s="220">
        <f>IF(OR(C116="Choose mgt fee",C116="Choose One!"),"",(C109+C110+C111+C112+C113) / -(C115+C116+C117))</f>
        <v>1.2045441476965679</v>
      </c>
      <c r="D132" s="220">
        <f>IF(OR(D116="Choose mgt fee",D116="Choose One!"),"",(D109+D110+D111+D112+D113) / -(D115+D116+D117))</f>
        <v>1.1935471515501861</v>
      </c>
      <c r="E132" s="220">
        <f>IF(OR(E116="Choose mgt fee",E116="Choose One!"),"",(E109+E110+E111+E112+E113) / -(E115+E116+E117))</f>
        <v>1.1826448092492667</v>
      </c>
      <c r="F132" s="497">
        <f>IF(OR(F116="Choose mgt fee",F116="Choose One!"),"",(F109+F110+F111+F112+F113) / -(F115+F116+F117))</f>
        <v>1.1718351952308101</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1461215.1300279417</v>
      </c>
      <c r="C133" s="177">
        <f>IF('Part II-Sources of Funds'!$I$40="","",-FV('Part II-Sources of Funds'!$K$40/12,12,C120/12,B133))</f>
        <v>1342616.926413473</v>
      </c>
      <c r="D133" s="177">
        <f>IF('Part II-Sources of Funds'!$I$40="","",-FV('Part II-Sources of Funds'!$K$40/12,12,D120/12,C133))</f>
        <v>1214913.2081906034</v>
      </c>
      <c r="E133" s="177">
        <f>IF('Part II-Sources of Funds'!$I$40="","",-FV('Part II-Sources of Funds'!$K$40/12,12,E120/12,D133))</f>
        <v>1077404.8889165628</v>
      </c>
      <c r="F133" s="177">
        <f>IF('Part II-Sources of Funds'!$I$40="","",-FV('Part II-Sources of Funds'!$K$40/12,12,F120/12,E133))</f>
        <v>929339.20897627959</v>
      </c>
      <c r="G133" s="13"/>
      <c r="H133" s="13"/>
      <c r="I133" s="13"/>
      <c r="J133" s="13"/>
      <c r="K133" s="13"/>
      <c r="N133" s="3452"/>
      <c r="O133" s="3454"/>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8" t="s">
        <v>3002</v>
      </c>
      <c r="B140" s="3577"/>
      <c r="C140" s="3577"/>
      <c r="D140" s="3577"/>
      <c r="E140" s="3577"/>
      <c r="F140" s="3578"/>
      <c r="G140" s="3579"/>
      <c r="H140" s="3580"/>
      <c r="I140" s="3580"/>
      <c r="J140" s="3580"/>
      <c r="K140" s="3581"/>
      <c r="N140" s="3206" t="s">
        <v>2445</v>
      </c>
      <c r="O140" s="320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rintOptions horizontalCentered="1"/>
  <pageMargins left="0.25" right="0.25" top="0.75" bottom="0.5" header="0.3" footer="0.3"/>
  <pageSetup scale="80" fitToHeight="0" orientation="landscape" r:id="rId1"/>
  <headerFooter>
    <oddHeader>&amp;LGeorgia Department of Community Affairs&amp;C2024 Funding Application&amp;RHousing Finance and Development Division</oddHeader>
    <oddFooter>&amp;L&amp;G  &amp;F&amp;C&amp;A&amp;R&amp;P of &amp;N</oddFooter>
  </headerFooter>
  <rowBreaks count="4" manualBreakCount="4">
    <brk id="45" max="10" man="1"/>
    <brk id="77" max="10" man="1"/>
    <brk id="107" max="10" man="1"/>
    <brk id="136" max="10"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dimension ref="A1:AB568"/>
  <sheetViews>
    <sheetView showGridLines="0" view="pageBreakPreview" topLeftCell="A288" zoomScale="60" zoomScaleNormal="100" workbookViewId="0">
      <selection activeCell="X43" sqref="X43"/>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Flats at Lake View II, Warner Robins, Houston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20.25" customHeight="1">
      <c r="A33" s="3604"/>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c r="Q39" s="3622"/>
      <c r="AA39" s="2492">
        <v>39</v>
      </c>
    </row>
    <row r="40" spans="1:27" ht="15" customHeight="1">
      <c r="B40" s="1944" t="s">
        <v>3156</v>
      </c>
      <c r="D40" s="1944"/>
      <c r="E40" s="1944"/>
      <c r="F40" s="1944"/>
      <c r="G40" s="1944"/>
      <c r="H40" s="1942"/>
      <c r="I40" s="1935"/>
      <c r="J40" s="1935"/>
      <c r="AA40" s="2492">
        <v>40</v>
      </c>
    </row>
    <row r="41" spans="1:27" ht="20.25" customHeight="1">
      <c r="A41" s="3623"/>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5016</v>
      </c>
      <c r="C47" s="1941"/>
      <c r="D47" s="1940"/>
      <c r="E47" s="1940"/>
      <c r="F47" s="1940"/>
      <c r="G47" s="1940"/>
      <c r="H47" s="1940"/>
      <c r="I47" s="1940"/>
      <c r="J47" s="1940"/>
      <c r="L47" s="1945"/>
      <c r="M47" s="1946"/>
      <c r="O47" s="1936"/>
      <c r="P47" s="3621"/>
      <c r="Q47" s="3622"/>
      <c r="AA47" s="2492">
        <v>47</v>
      </c>
    </row>
    <row r="48" spans="1:27" ht="15" customHeight="1">
      <c r="B48" s="1944" t="s">
        <v>3156</v>
      </c>
      <c r="D48" s="1944"/>
      <c r="E48" s="1944"/>
      <c r="F48" s="1944"/>
      <c r="G48" s="1944"/>
      <c r="H48" s="1942"/>
      <c r="I48" s="1935"/>
      <c r="J48" s="1935"/>
      <c r="K48" s="1938" t="s">
        <v>1725</v>
      </c>
      <c r="L48" s="1932"/>
      <c r="M48" s="1932"/>
      <c r="N48" s="1932"/>
      <c r="O48" s="1932"/>
      <c r="P48" s="1932"/>
      <c r="Q48" s="1932"/>
      <c r="AA48" s="2492">
        <v>48</v>
      </c>
    </row>
    <row r="49" spans="1:27" ht="20.25" customHeight="1">
      <c r="A49" s="3604"/>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5" customHeight="1">
      <c r="A53" s="1947"/>
      <c r="B53" s="3612" t="s">
        <v>2258</v>
      </c>
      <c r="C53" s="3612"/>
      <c r="D53" s="3612"/>
      <c r="E53" s="3612"/>
      <c r="F53" s="3612"/>
      <c r="G53" s="3612"/>
      <c r="H53" s="3613"/>
      <c r="I53" s="3614"/>
      <c r="J53" s="3615"/>
      <c r="K53" s="3615"/>
      <c r="L53" s="3615"/>
      <c r="M53" s="3615"/>
      <c r="N53" s="3615"/>
      <c r="O53" s="3615"/>
      <c r="P53" s="3615"/>
      <c r="Q53" s="3616"/>
      <c r="AA53" s="2492">
        <v>53</v>
      </c>
    </row>
    <row r="54" spans="1:27" ht="15.95" customHeight="1">
      <c r="A54" s="1947"/>
      <c r="B54" s="1934" t="s">
        <v>4658</v>
      </c>
      <c r="D54" s="1950"/>
      <c r="E54" s="1950"/>
      <c r="F54" s="1950"/>
      <c r="I54" s="3617"/>
      <c r="J54" s="3618"/>
      <c r="K54" s="3619"/>
      <c r="L54" s="1943"/>
      <c r="M54" s="1951"/>
      <c r="N54" s="1951"/>
      <c r="O54" s="1951"/>
      <c r="P54" s="1951"/>
      <c r="Q54" s="1932"/>
      <c r="AA54" s="2493">
        <v>54</v>
      </c>
    </row>
    <row r="55" spans="1:27" ht="15.95" customHeight="1">
      <c r="A55" s="1947"/>
      <c r="B55" s="1934" t="s">
        <v>4659</v>
      </c>
      <c r="D55" s="1950"/>
      <c r="E55" s="1950"/>
      <c r="F55" s="1950"/>
      <c r="H55" s="1943" t="s">
        <v>4660</v>
      </c>
      <c r="I55" s="3617"/>
      <c r="J55" s="3618"/>
      <c r="K55" s="3619"/>
      <c r="L55" s="1952"/>
      <c r="M55" s="1953" t="s">
        <v>4661</v>
      </c>
      <c r="N55" s="3617"/>
      <c r="O55" s="3619"/>
      <c r="P55" s="1937"/>
      <c r="Q55" s="1937"/>
      <c r="AA55" s="2492">
        <v>55</v>
      </c>
    </row>
    <row r="56" spans="1:27" ht="15" customHeight="1">
      <c r="B56" s="1954" t="s">
        <v>3156</v>
      </c>
      <c r="D56" s="1954"/>
      <c r="E56" s="1954"/>
      <c r="F56" s="1954"/>
      <c r="G56" s="1954"/>
      <c r="H56" s="1942"/>
      <c r="I56" s="1935"/>
      <c r="J56" s="1935"/>
      <c r="K56" s="1935"/>
      <c r="L56" s="1932"/>
      <c r="M56" s="1932"/>
      <c r="N56" s="1932"/>
      <c r="O56" s="1932"/>
      <c r="P56" s="1932"/>
      <c r="Q56" s="1932"/>
      <c r="AA56" s="2492">
        <v>56</v>
      </c>
    </row>
    <row r="57" spans="1:27" ht="20.25" customHeight="1">
      <c r="A57" s="3604"/>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5" customHeight="1">
      <c r="A63" s="1947"/>
      <c r="B63" s="1934" t="s">
        <v>4662</v>
      </c>
      <c r="I63" s="1956"/>
      <c r="J63" s="3617"/>
      <c r="K63" s="3617"/>
      <c r="L63" s="3617"/>
      <c r="M63" s="3617"/>
      <c r="N63" s="3617"/>
      <c r="O63" s="3617"/>
      <c r="P63" s="3617"/>
      <c r="Q63" s="3637"/>
      <c r="AA63" s="2493">
        <v>63</v>
      </c>
    </row>
    <row r="64" spans="1:27" ht="15.95" customHeight="1">
      <c r="A64" s="1947"/>
      <c r="B64" s="1934" t="s">
        <v>3823</v>
      </c>
      <c r="O64" s="1943"/>
      <c r="P64" s="1962"/>
      <c r="Q64" s="1955"/>
      <c r="AA64" s="2492">
        <v>64</v>
      </c>
    </row>
    <row r="65" spans="1:28" ht="31.5" customHeight="1">
      <c r="B65" s="1941"/>
      <c r="C65" s="3612" t="s">
        <v>4796</v>
      </c>
      <c r="D65" s="3612"/>
      <c r="E65" s="3612"/>
      <c r="F65" s="3612"/>
      <c r="G65" s="3612"/>
      <c r="H65" s="3612"/>
      <c r="I65" s="3612"/>
      <c r="J65" s="3612"/>
      <c r="K65" s="3612"/>
      <c r="L65" s="3612"/>
      <c r="M65" s="3612"/>
      <c r="N65" s="3612"/>
      <c r="O65" s="3612"/>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5000</v>
      </c>
      <c r="C73" s="3612"/>
      <c r="D73" s="3612"/>
      <c r="E73" s="3612"/>
      <c r="F73" s="3612"/>
      <c r="G73" s="3612"/>
      <c r="H73" s="3612"/>
      <c r="I73" s="3612"/>
      <c r="J73" s="3612"/>
      <c r="K73" s="3613"/>
      <c r="L73" s="3631"/>
      <c r="M73" s="3632"/>
      <c r="N73" s="3632"/>
      <c r="O73" s="3632"/>
      <c r="P73" s="3633"/>
      <c r="Q73" s="3634"/>
      <c r="AA73" s="2492">
        <v>73</v>
      </c>
    </row>
    <row r="74" spans="1:28" ht="16.5" customHeight="1">
      <c r="B74" s="1934" t="s">
        <v>4663</v>
      </c>
      <c r="C74" s="1937"/>
      <c r="O74" s="1943"/>
      <c r="P74" s="1962"/>
      <c r="Q74" s="1955"/>
      <c r="AA74" s="2492">
        <v>74</v>
      </c>
    </row>
    <row r="75" spans="1:28" ht="16.5" customHeight="1">
      <c r="A75" s="1947"/>
      <c r="B75" s="1934" t="s">
        <v>4526</v>
      </c>
      <c r="D75" s="1950"/>
      <c r="E75" s="1950"/>
      <c r="F75" s="1950"/>
      <c r="G75" s="1950"/>
      <c r="H75" s="1950"/>
      <c r="K75" s="1950"/>
      <c r="L75" s="1940"/>
      <c r="O75" s="1943"/>
      <c r="P75" s="1959"/>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c r="Q77" s="1955"/>
      <c r="AA77" s="2492">
        <v>77</v>
      </c>
    </row>
    <row r="78" spans="1:28" ht="16.5" customHeight="1">
      <c r="A78" s="1947"/>
      <c r="B78" s="1941"/>
      <c r="C78" s="1934" t="s">
        <v>4666</v>
      </c>
      <c r="E78" s="1950"/>
      <c r="F78" s="1950"/>
      <c r="G78" s="1950"/>
      <c r="K78" s="1950"/>
      <c r="L78" s="1940"/>
      <c r="M78" s="1940"/>
      <c r="O78" s="1943"/>
      <c r="P78" s="1957"/>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c r="Q80" s="1960"/>
      <c r="AA80" s="2492">
        <v>80</v>
      </c>
    </row>
    <row r="81" spans="1:27" ht="32.25" customHeight="1">
      <c r="A81" s="1947"/>
      <c r="B81" s="3639" t="s">
        <v>4822</v>
      </c>
      <c r="C81" s="3639"/>
      <c r="D81" s="3639"/>
      <c r="E81" s="3639"/>
      <c r="F81" s="3639"/>
      <c r="G81" s="3639"/>
      <c r="H81" s="3639"/>
      <c r="I81" s="3639"/>
      <c r="J81" s="3639"/>
      <c r="K81" s="3639"/>
      <c r="L81" s="3639"/>
      <c r="M81" s="3639"/>
      <c r="N81" s="3639"/>
      <c r="O81" s="3639"/>
      <c r="P81" s="3639"/>
      <c r="Q81" s="3639"/>
      <c r="AA81" s="2493">
        <v>81</v>
      </c>
    </row>
    <row r="82" spans="1:27" ht="20.25" customHeight="1">
      <c r="B82" s="3617"/>
      <c r="C82" s="3617"/>
      <c r="D82" s="3617"/>
      <c r="E82" s="3617"/>
      <c r="F82" s="3617"/>
      <c r="G82" s="3617"/>
      <c r="H82" s="3617"/>
      <c r="I82" s="3617"/>
      <c r="J82" s="3617"/>
      <c r="K82" s="3617"/>
      <c r="L82" s="3617"/>
      <c r="M82" s="3617"/>
      <c r="N82" s="3617"/>
      <c r="O82" s="3617"/>
      <c r="P82" s="3617"/>
      <c r="Q82" s="3637"/>
      <c r="AA82" s="2492">
        <v>82</v>
      </c>
    </row>
    <row r="83" spans="1:27" ht="15" customHeight="1">
      <c r="B83" s="1954" t="s">
        <v>3156</v>
      </c>
      <c r="D83" s="1954"/>
      <c r="E83" s="1954"/>
      <c r="F83" s="1954"/>
      <c r="G83" s="1954"/>
      <c r="H83" s="1942"/>
      <c r="I83" s="1935"/>
      <c r="J83" s="1935"/>
      <c r="K83" s="1935"/>
      <c r="L83" s="1932"/>
      <c r="M83" s="1932"/>
      <c r="N83" s="1932"/>
      <c r="O83" s="1932"/>
      <c r="P83" s="1932"/>
      <c r="Q83" s="1932"/>
      <c r="AA83" s="2492">
        <v>83</v>
      </c>
    </row>
    <row r="84" spans="1:27" ht="20.25" customHeight="1">
      <c r="A84" s="3604"/>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0" t="s">
        <v>5152</v>
      </c>
      <c r="M90" s="3641"/>
      <c r="N90" s="3642"/>
      <c r="O90" s="3607" t="s">
        <v>1641</v>
      </c>
      <c r="P90" s="3643"/>
      <c r="Q90" s="3644"/>
      <c r="AA90" s="2493">
        <v>90</v>
      </c>
    </row>
    <row r="91" spans="1:27" ht="14.1" customHeight="1">
      <c r="A91" s="1947"/>
      <c r="B91" s="1934" t="s">
        <v>635</v>
      </c>
      <c r="G91" s="3617"/>
      <c r="H91" s="3617"/>
      <c r="I91" s="3617"/>
      <c r="J91" s="3617"/>
      <c r="K91" s="3617"/>
      <c r="L91" s="3617"/>
      <c r="M91" s="3617"/>
      <c r="N91" s="3617"/>
      <c r="O91" s="3617"/>
      <c r="P91" s="3617"/>
      <c r="Q91" s="3637"/>
      <c r="AA91" s="2492">
        <v>91</v>
      </c>
    </row>
    <row r="92" spans="1:27" ht="15" customHeight="1">
      <c r="B92" s="1954" t="s">
        <v>3156</v>
      </c>
      <c r="D92" s="1954"/>
      <c r="E92" s="1954"/>
      <c r="F92" s="1954"/>
      <c r="G92" s="1954"/>
      <c r="H92" s="1942"/>
      <c r="I92" s="1935"/>
      <c r="J92" s="1935"/>
      <c r="K92" s="1935"/>
      <c r="L92" s="1932"/>
      <c r="M92" s="1932"/>
      <c r="N92" s="1932"/>
      <c r="O92" s="1932"/>
      <c r="P92" s="1932"/>
      <c r="Q92" s="1932"/>
      <c r="AA92" s="2492">
        <v>92</v>
      </c>
    </row>
    <row r="93" spans="1:27" ht="18.600000000000001" customHeight="1">
      <c r="A93" s="3604"/>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3156</v>
      </c>
      <c r="D99" s="1954"/>
      <c r="E99" s="1954"/>
      <c r="F99" s="1954"/>
      <c r="G99" s="1954"/>
      <c r="H99" s="1942"/>
      <c r="I99" s="1935"/>
      <c r="J99" s="1935"/>
      <c r="K99" s="1935"/>
      <c r="L99" s="1932"/>
      <c r="M99" s="1932"/>
      <c r="N99" s="1932"/>
      <c r="O99" s="1932"/>
      <c r="P99" s="1932"/>
      <c r="Q99" s="1932"/>
      <c r="AA99" s="2493">
        <v>99</v>
      </c>
    </row>
    <row r="100" spans="1:27" ht="18.600000000000001" customHeight="1">
      <c r="A100" s="3604"/>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1" t="s">
        <v>2420</v>
      </c>
      <c r="C105" s="3651"/>
      <c r="D105" s="3651"/>
      <c r="N105" s="1961"/>
      <c r="O105" s="1936" t="s">
        <v>1726</v>
      </c>
      <c r="P105" s="3607"/>
      <c r="Q105" s="3611"/>
      <c r="AA105" s="2492">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4669</v>
      </c>
      <c r="H113" s="1934" t="s">
        <v>4670</v>
      </c>
      <c r="J113" s="3648" t="s">
        <v>1705</v>
      </c>
      <c r="K113" s="3649"/>
      <c r="L113" s="3649"/>
      <c r="M113" s="3649"/>
      <c r="N113" s="3649"/>
      <c r="O113" s="3649"/>
      <c r="P113" s="3649"/>
      <c r="Q113" s="3650"/>
      <c r="AA113" s="2492">
        <v>113</v>
      </c>
    </row>
    <row r="114" spans="1:27" ht="14.1" customHeight="1">
      <c r="A114" s="1947"/>
      <c r="B114" s="1947"/>
      <c r="H114" s="1934" t="s">
        <v>4671</v>
      </c>
      <c r="J114" s="3645" t="s">
        <v>1705</v>
      </c>
      <c r="K114" s="3646"/>
      <c r="L114" s="3646"/>
      <c r="M114" s="3646"/>
      <c r="N114" s="3646"/>
      <c r="O114" s="3646"/>
      <c r="P114" s="3646"/>
      <c r="Q114" s="3647"/>
      <c r="AA114" s="2492">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5" customHeight="1">
      <c r="A122" s="1947"/>
      <c r="B122" s="1934" t="s">
        <v>4673</v>
      </c>
      <c r="H122" s="1934" t="s">
        <v>4674</v>
      </c>
      <c r="J122" s="3648" t="s">
        <v>1705</v>
      </c>
      <c r="K122" s="3649"/>
      <c r="L122" s="3649"/>
      <c r="M122" s="3649"/>
      <c r="N122" s="3649"/>
      <c r="O122" s="3649"/>
      <c r="P122" s="3649"/>
      <c r="Q122" s="3650"/>
      <c r="R122" s="1975"/>
      <c r="AA122" s="2492">
        <v>122</v>
      </c>
    </row>
    <row r="123" spans="1:27" ht="14.45" customHeight="1">
      <c r="A123" s="1974"/>
      <c r="B123" s="1947"/>
      <c r="H123" s="1934" t="s">
        <v>4675</v>
      </c>
      <c r="J123" s="3645" t="s">
        <v>1705</v>
      </c>
      <c r="K123" s="3646"/>
      <c r="L123" s="3646"/>
      <c r="M123" s="3646"/>
      <c r="N123" s="3646"/>
      <c r="O123" s="3646"/>
      <c r="P123" s="3646"/>
      <c r="Q123" s="3647"/>
      <c r="R123" s="1975"/>
      <c r="AA123" s="2492">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5001</v>
      </c>
      <c r="C131" s="3612"/>
      <c r="D131" s="3612"/>
      <c r="E131" s="3612"/>
      <c r="F131" s="3612"/>
      <c r="G131" s="3612"/>
      <c r="H131" s="3612"/>
      <c r="I131" s="3612"/>
      <c r="J131" s="3612"/>
      <c r="K131" s="3612"/>
      <c r="L131" s="3612"/>
      <c r="M131" s="3612"/>
      <c r="N131" s="3612"/>
      <c r="O131" s="3613"/>
      <c r="P131" s="3621"/>
      <c r="Q131" s="3622"/>
      <c r="AA131" s="2492">
        <v>131</v>
      </c>
    </row>
    <row r="132" spans="1:27" ht="20.25" customHeight="1">
      <c r="A132" s="1947" t="s">
        <v>1836</v>
      </c>
      <c r="B132" s="1934" t="s">
        <v>4676</v>
      </c>
      <c r="O132" s="1943"/>
      <c r="P132" s="1937"/>
      <c r="Q132" s="1937"/>
      <c r="AA132" s="2492">
        <v>132</v>
      </c>
    </row>
    <row r="133" spans="1:27" ht="14.45" customHeight="1">
      <c r="A133" s="1947"/>
      <c r="B133" s="1942"/>
      <c r="C133" s="1934" t="s">
        <v>1787</v>
      </c>
      <c r="J133" s="1943"/>
      <c r="K133" s="1937"/>
      <c r="L133" s="1937"/>
      <c r="M133" s="3665" t="s">
        <v>1641</v>
      </c>
      <c r="N133" s="3666"/>
      <c r="O133" s="3666"/>
      <c r="P133" s="3666"/>
      <c r="Q133" s="3667"/>
      <c r="AA133" s="2492">
        <v>133</v>
      </c>
    </row>
    <row r="134" spans="1:27" ht="14.45" customHeight="1">
      <c r="A134" s="1947"/>
      <c r="B134" s="1942"/>
      <c r="C134" s="1942" t="s">
        <v>4612</v>
      </c>
      <c r="E134" s="1942"/>
      <c r="F134" s="1942"/>
      <c r="G134" s="1942"/>
      <c r="H134" s="1942"/>
      <c r="J134" s="1943"/>
      <c r="K134" s="1937"/>
      <c r="L134" s="1937"/>
      <c r="M134" s="3652" t="s">
        <v>1641</v>
      </c>
      <c r="N134" s="3653"/>
      <c r="O134" s="3653"/>
      <c r="P134" s="3653"/>
      <c r="Q134" s="3654"/>
      <c r="AA134" s="2492">
        <v>134</v>
      </c>
    </row>
    <row r="135" spans="1:27" ht="14.45" customHeight="1">
      <c r="A135" s="1947"/>
      <c r="B135" s="1942"/>
      <c r="C135" s="3655" t="s">
        <v>4090</v>
      </c>
      <c r="D135" s="3656"/>
      <c r="E135" s="3656"/>
      <c r="F135" s="3656"/>
      <c r="G135" s="3656"/>
      <c r="H135" s="3656"/>
      <c r="I135" s="3656"/>
      <c r="J135" s="3656"/>
      <c r="K135" s="3656"/>
      <c r="L135" s="3656"/>
      <c r="M135" s="3657"/>
      <c r="N135" s="3657"/>
      <c r="O135" s="3657"/>
      <c r="P135" s="3657"/>
      <c r="Q135" s="3658"/>
      <c r="AA135" s="2493">
        <v>135</v>
      </c>
    </row>
    <row r="136" spans="1:27" ht="14.45" customHeight="1">
      <c r="A136" s="1947"/>
      <c r="B136" s="1942"/>
      <c r="C136" s="1942" t="s">
        <v>3662</v>
      </c>
      <c r="E136" s="1942"/>
      <c r="F136" s="1942"/>
      <c r="G136" s="1942"/>
      <c r="H136" s="1942"/>
      <c r="J136" s="1943"/>
      <c r="K136" s="1937"/>
      <c r="L136" s="1937"/>
      <c r="M136" s="3645" t="s">
        <v>1641</v>
      </c>
      <c r="N136" s="3646"/>
      <c r="O136" s="3646"/>
      <c r="P136" s="3646"/>
      <c r="Q136" s="3647"/>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949</v>
      </c>
      <c r="D139" s="3660"/>
      <c r="E139" s="3660"/>
      <c r="F139" s="3660"/>
      <c r="G139" s="3660"/>
      <c r="H139" s="3661"/>
      <c r="I139" s="1937"/>
      <c r="J139" s="3662" t="s">
        <v>4679</v>
      </c>
      <c r="K139" s="3663"/>
      <c r="L139" s="3663"/>
      <c r="M139" s="3663"/>
      <c r="N139" s="3663"/>
      <c r="O139" s="3663"/>
      <c r="P139" s="3663"/>
      <c r="Q139" s="3664"/>
      <c r="AA139" s="2492">
        <v>139</v>
      </c>
    </row>
    <row r="140" spans="1:27" ht="15.75" customHeight="1">
      <c r="A140" s="1932"/>
      <c r="B140" s="1970" t="s">
        <v>1612</v>
      </c>
      <c r="C140" s="3677" t="s">
        <v>949</v>
      </c>
      <c r="D140" s="3678"/>
      <c r="E140" s="3678"/>
      <c r="F140" s="3678"/>
      <c r="G140" s="3678"/>
      <c r="H140" s="3679"/>
      <c r="I140" s="1937"/>
      <c r="J140" s="3680" t="s">
        <v>4679</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4679</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4679</v>
      </c>
      <c r="K142" s="3687"/>
      <c r="L142" s="3687"/>
      <c r="M142" s="3687"/>
      <c r="N142" s="3687"/>
      <c r="O142" s="3687"/>
      <c r="P142" s="3687"/>
      <c r="Q142" s="3688"/>
      <c r="AA142" s="2492">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8"/>
      <c r="Q150" s="3669"/>
      <c r="AA150" s="2492">
        <v>150</v>
      </c>
    </row>
    <row r="151" spans="1:27" ht="20.25" customHeight="1">
      <c r="A151" s="1947"/>
      <c r="B151" s="1934" t="s">
        <v>1190</v>
      </c>
      <c r="G151" s="1937"/>
      <c r="H151" s="3670"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74"/>
      <c r="I152" s="3675"/>
      <c r="J152" s="3675"/>
      <c r="K152" s="3675"/>
      <c r="L152" s="3675"/>
      <c r="M152" s="3675"/>
      <c r="N152" s="3675"/>
      <c r="O152" s="3675"/>
      <c r="P152" s="3675"/>
      <c r="Q152" s="3676"/>
      <c r="R152" s="1956"/>
      <c r="AA152" s="2492">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5" customHeight="1">
      <c r="B168" s="3689" t="s">
        <v>5002</v>
      </c>
      <c r="C168" s="3689"/>
      <c r="D168" s="3689"/>
      <c r="E168" s="3689"/>
      <c r="F168" s="3689"/>
      <c r="G168" s="3689"/>
      <c r="H168" s="3689"/>
      <c r="I168" s="3689"/>
      <c r="J168" s="3689"/>
      <c r="K168" s="3689"/>
      <c r="L168" s="3689"/>
      <c r="M168" s="3689"/>
      <c r="N168" s="3689"/>
      <c r="O168" s="3690"/>
      <c r="P168" s="3691"/>
      <c r="Q168" s="3692"/>
      <c r="AA168" s="2492">
        <v>168</v>
      </c>
    </row>
    <row r="169" spans="1:27" ht="17.100000000000001" customHeight="1">
      <c r="A169" s="1947" t="s">
        <v>1838</v>
      </c>
      <c r="B169" s="1933" t="s">
        <v>297</v>
      </c>
      <c r="G169" s="1937"/>
      <c r="H169" s="3693" t="s">
        <v>3249</v>
      </c>
      <c r="I169" s="3693"/>
      <c r="J169" s="3693"/>
      <c r="K169" s="3693"/>
      <c r="L169" s="3693"/>
      <c r="M169" s="3693"/>
      <c r="N169" s="3693"/>
      <c r="O169" s="3693"/>
      <c r="P169" s="3694"/>
      <c r="Q169" s="3694"/>
      <c r="AA169" s="2492">
        <v>169</v>
      </c>
    </row>
    <row r="170" spans="1:27" ht="15" customHeight="1">
      <c r="B170" s="1954" t="s">
        <v>3156</v>
      </c>
      <c r="M170" s="1935"/>
      <c r="N170" s="1935"/>
      <c r="O170" s="1979"/>
      <c r="P170" s="1932"/>
      <c r="AA170" s="2492">
        <v>170</v>
      </c>
    </row>
    <row r="171" spans="1:27" ht="17.100000000000001" customHeight="1">
      <c r="A171" s="3604"/>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8"/>
      <c r="Q177" s="3703"/>
      <c r="AA177" s="2492">
        <v>177</v>
      </c>
    </row>
    <row r="178" spans="1:27" ht="30.6" customHeight="1">
      <c r="A178" s="1937"/>
      <c r="B178" s="3612" t="s">
        <v>5003</v>
      </c>
      <c r="C178" s="3612"/>
      <c r="D178" s="3612"/>
      <c r="E178" s="3612"/>
      <c r="F178" s="3612"/>
      <c r="G178" s="3612"/>
      <c r="H178" s="3612"/>
      <c r="I178" s="3612"/>
      <c r="J178" s="3612"/>
      <c r="K178" s="3612"/>
      <c r="L178" s="3612"/>
      <c r="M178" s="3612"/>
      <c r="N178" s="3612"/>
      <c r="O178" s="3612"/>
      <c r="P178" s="3698"/>
      <c r="Q178" s="3704"/>
      <c r="AA178" s="2492">
        <v>178</v>
      </c>
    </row>
    <row r="179" spans="1:27" ht="15">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5037</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5038</v>
      </c>
      <c r="E181" s="3689"/>
      <c r="F181" s="3689"/>
      <c r="G181" s="3689"/>
      <c r="H181" s="3689"/>
      <c r="I181" s="3689"/>
      <c r="J181" s="3689"/>
      <c r="K181" s="3689"/>
      <c r="L181" s="3689"/>
      <c r="M181" s="3689"/>
      <c r="N181" s="3689"/>
      <c r="O181" s="3689"/>
      <c r="P181" s="3706">
        <f>'Part VIII Scoring Criteria'!O105</f>
        <v>8</v>
      </c>
      <c r="Q181" s="3707"/>
      <c r="AA181" s="2493"/>
    </row>
    <row r="182" spans="1:27" ht="12" customHeight="1">
      <c r="A182" s="1937"/>
      <c r="C182" s="1937"/>
      <c r="D182" s="1937"/>
      <c r="E182" s="1937"/>
      <c r="F182" s="1937"/>
      <c r="G182" s="1937"/>
      <c r="H182" s="1937"/>
      <c r="I182" s="1937"/>
      <c r="J182" s="1937"/>
      <c r="K182" s="1937"/>
      <c r="L182" s="3705" t="s">
        <v>4681</v>
      </c>
      <c r="M182" s="3705"/>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4</v>
      </c>
      <c r="M184" s="1984">
        <f>'DCA Underwriting Assumptions'!$Q$147</f>
        <v>0.05</v>
      </c>
      <c r="N184" s="2085" t="s">
        <v>4798</v>
      </c>
      <c r="O184" s="1943"/>
      <c r="P184" s="3668"/>
      <c r="Q184" s="3703"/>
      <c r="AA184" s="2492">
        <v>183</v>
      </c>
    </row>
    <row r="185" spans="1:27" ht="15" customHeight="1">
      <c r="A185" s="1947"/>
      <c r="B185" s="1942"/>
      <c r="D185" s="3612" t="s">
        <v>4799</v>
      </c>
      <c r="E185" s="3612"/>
      <c r="F185" s="3612"/>
      <c r="G185" s="3612"/>
      <c r="H185" s="3612"/>
      <c r="I185" s="3612"/>
      <c r="J185" s="3612"/>
      <c r="K185" s="1982"/>
      <c r="L185" s="1985">
        <f>ROUNDUP(L184*M185,0)</f>
        <v>2</v>
      </c>
      <c r="M185" s="1984">
        <f>'DCA Underwriting Assumptions'!$Q$148</f>
        <v>0.4</v>
      </c>
      <c r="N185" s="2085" t="s">
        <v>4800</v>
      </c>
      <c r="O185" s="1943"/>
      <c r="P185" s="3696"/>
      <c r="Q185" s="3697"/>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2</v>
      </c>
      <c r="M186" s="1984">
        <f>'DCA Underwriting Assumptions'!$Q$149</f>
        <v>0.02</v>
      </c>
      <c r="N186" s="2085" t="s">
        <v>4798</v>
      </c>
      <c r="O186" s="1943"/>
      <c r="P186" s="3698"/>
      <c r="Q186" s="3699"/>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700"/>
      <c r="N188" s="3701"/>
      <c r="O188" s="3701"/>
      <c r="P188" s="3701"/>
      <c r="Q188" s="3702"/>
      <c r="AA188" s="2492">
        <v>187</v>
      </c>
    </row>
    <row r="189" spans="1:27" ht="15.6" customHeight="1">
      <c r="A189" s="1947"/>
      <c r="C189" s="1937"/>
      <c r="D189" s="1934" t="s">
        <v>4802</v>
      </c>
      <c r="O189" s="1943"/>
      <c r="P189" s="1962"/>
      <c r="Q189" s="1955"/>
      <c r="R189" s="1943"/>
      <c r="AA189" s="2492">
        <v>188</v>
      </c>
    </row>
    <row r="190" spans="1:27" ht="15.6" customHeight="1">
      <c r="A190" s="1947"/>
      <c r="C190" s="1937"/>
      <c r="D190" s="1934" t="s">
        <v>4803</v>
      </c>
      <c r="O190" s="1943"/>
      <c r="P190" s="1959"/>
      <c r="Q190" s="1960"/>
      <c r="R190" s="1943"/>
      <c r="AA190" s="2493">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8"/>
      <c r="Q198" s="3703"/>
      <c r="AA198" s="2492">
        <v>197</v>
      </c>
    </row>
    <row r="199" spans="1:27" ht="28.5" customHeight="1">
      <c r="B199" s="3612" t="s">
        <v>5004</v>
      </c>
      <c r="C199" s="3612"/>
      <c r="D199" s="3612"/>
      <c r="E199" s="3612"/>
      <c r="F199" s="3612"/>
      <c r="G199" s="3612"/>
      <c r="H199" s="3612"/>
      <c r="I199" s="3612"/>
      <c r="J199" s="3612"/>
      <c r="K199" s="3612"/>
      <c r="L199" s="3612"/>
      <c r="M199" s="3612"/>
      <c r="N199" s="3612"/>
      <c r="P199" s="3698"/>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4736</v>
      </c>
      <c r="D201" s="3689"/>
      <c r="E201" s="3689"/>
      <c r="F201" s="3614" t="s">
        <v>2141</v>
      </c>
      <c r="G201" s="3615"/>
      <c r="H201" s="3615"/>
      <c r="I201" s="3615"/>
      <c r="J201" s="3615"/>
      <c r="K201" s="3615"/>
      <c r="L201" s="3615"/>
      <c r="M201" s="3615"/>
      <c r="N201" s="3615"/>
      <c r="O201" s="3615"/>
      <c r="P201" s="3615"/>
      <c r="Q201" s="3616"/>
      <c r="AA201" s="2492">
        <v>200</v>
      </c>
    </row>
    <row r="202" spans="1:27" ht="30" customHeight="1">
      <c r="B202" s="1970" t="s">
        <v>1612</v>
      </c>
      <c r="C202" s="3689" t="s">
        <v>4737</v>
      </c>
      <c r="D202" s="3689"/>
      <c r="E202" s="3689"/>
      <c r="F202" s="3689"/>
      <c r="G202" s="3690"/>
      <c r="H202" s="3614" t="s">
        <v>1017</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3281</v>
      </c>
      <c r="B212" s="1941" t="s">
        <v>4805</v>
      </c>
      <c r="C212" s="1941"/>
      <c r="D212" s="1940"/>
      <c r="E212" s="1940"/>
      <c r="F212" s="1940"/>
      <c r="G212" s="1940"/>
      <c r="H212" s="1940"/>
      <c r="N212" s="1961"/>
      <c r="O212" s="1936" t="s">
        <v>1726</v>
      </c>
      <c r="P212" s="3635"/>
      <c r="Q212" s="3695"/>
      <c r="AA212" s="2492">
        <v>211</v>
      </c>
    </row>
    <row r="213" spans="1:27" ht="15" customHeight="1">
      <c r="A213" s="1947"/>
      <c r="B213" s="1934" t="s">
        <v>4795</v>
      </c>
      <c r="O213" s="1943"/>
      <c r="P213" s="3713" t="s">
        <v>1641</v>
      </c>
      <c r="Q213" s="3714"/>
      <c r="AA213" s="2492">
        <v>212</v>
      </c>
    </row>
    <row r="214" spans="1:27" ht="15" customHeight="1">
      <c r="A214" s="1947"/>
      <c r="B214" s="1934" t="s">
        <v>4806</v>
      </c>
      <c r="O214" s="1943"/>
      <c r="P214" s="3715" t="s">
        <v>1641</v>
      </c>
      <c r="Q214" s="3716"/>
      <c r="AA214" s="2492">
        <v>213</v>
      </c>
    </row>
    <row r="215" spans="1:27" ht="15" customHeight="1">
      <c r="A215" s="1947"/>
      <c r="B215" s="1934" t="s">
        <v>4807</v>
      </c>
      <c r="C215" s="1937"/>
      <c r="K215" s="1935"/>
      <c r="M215" s="1943"/>
      <c r="O215" s="1988"/>
      <c r="P215" s="3715" t="s">
        <v>1641</v>
      </c>
      <c r="Q215" s="3716"/>
      <c r="AA215" s="2492">
        <v>214</v>
      </c>
    </row>
    <row r="216" spans="1:27" ht="29.45" customHeight="1">
      <c r="A216" s="1947"/>
      <c r="B216" s="3612" t="s">
        <v>4808</v>
      </c>
      <c r="C216" s="3612"/>
      <c r="D216" s="3612"/>
      <c r="E216" s="3612"/>
      <c r="F216" s="3612"/>
      <c r="G216" s="3612"/>
      <c r="H216" s="3612"/>
      <c r="I216" s="3612"/>
      <c r="J216" s="3612"/>
      <c r="K216" s="3612"/>
      <c r="L216" s="3612"/>
      <c r="M216" s="3612"/>
      <c r="N216" s="3612"/>
      <c r="O216" s="3612"/>
      <c r="P216" s="3717" t="s">
        <v>1641</v>
      </c>
      <c r="Q216" s="3718"/>
      <c r="AA216" s="2492">
        <v>215</v>
      </c>
    </row>
    <row r="217" spans="1:27" ht="15.6" customHeight="1">
      <c r="A217" s="1947"/>
      <c r="B217" s="1934" t="s">
        <v>4809</v>
      </c>
      <c r="M217" s="1937"/>
      <c r="N217" s="1937"/>
      <c r="O217" s="3710"/>
      <c r="P217" s="3711"/>
      <c r="Q217" s="3712"/>
      <c r="AA217" s="2493">
        <v>216</v>
      </c>
    </row>
    <row r="218" spans="1:27" ht="15.6" customHeight="1">
      <c r="A218" s="1947"/>
      <c r="B218" s="1933" t="s">
        <v>4687</v>
      </c>
      <c r="G218" s="3607"/>
      <c r="H218" s="3643"/>
      <c r="I218" s="3643"/>
      <c r="J218" s="3643"/>
      <c r="K218" s="3643"/>
      <c r="L218" s="3644"/>
      <c r="M218" s="1937"/>
      <c r="N218" s="1937"/>
      <c r="O218" s="1937"/>
      <c r="P218" s="1937"/>
      <c r="Q218" s="1937"/>
      <c r="AA218" s="2492">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3284</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689" t="s">
        <v>5005</v>
      </c>
      <c r="H228" s="3689"/>
      <c r="I228" s="3689"/>
      <c r="J228" s="3689"/>
      <c r="K228" s="3689"/>
      <c r="L228" s="3689"/>
      <c r="M228" s="3689"/>
      <c r="N228" s="3689"/>
      <c r="O228" s="3690"/>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89" t="s">
        <v>4812</v>
      </c>
      <c r="D229" s="3689"/>
      <c r="E229" s="3689"/>
      <c r="F229" s="3689"/>
      <c r="G229" s="3689" t="s">
        <v>5006</v>
      </c>
      <c r="H229" s="3689"/>
      <c r="I229" s="3689"/>
      <c r="J229" s="3689"/>
      <c r="K229" s="3689"/>
      <c r="L229" s="3689"/>
      <c r="M229" s="3689"/>
      <c r="N229" s="3689"/>
      <c r="O229" s="3690"/>
      <c r="P229" s="2089"/>
      <c r="Q229" s="1960"/>
      <c r="R229" s="2056"/>
      <c r="S229" s="2056"/>
      <c r="T229" s="2056"/>
      <c r="U229" s="2056"/>
      <c r="V229" s="2056"/>
      <c r="W229" s="2056"/>
      <c r="X229" s="2056"/>
      <c r="Y229" s="2056"/>
      <c r="Z229" s="2056"/>
      <c r="AA229" s="2492">
        <v>228</v>
      </c>
      <c r="AB229" s="2056"/>
    </row>
    <row r="230" spans="1:28" ht="44.25" customHeight="1">
      <c r="A230" s="1963" t="s">
        <v>1838</v>
      </c>
      <c r="B230" s="3689" t="s">
        <v>4813</v>
      </c>
      <c r="C230" s="3689"/>
      <c r="D230" s="3689"/>
      <c r="E230" s="3689"/>
      <c r="F230" s="3689"/>
      <c r="G230" s="3689"/>
      <c r="H230" s="3689"/>
      <c r="I230" s="3689"/>
      <c r="J230" s="3689"/>
      <c r="K230" s="3689"/>
      <c r="L230" s="3689"/>
      <c r="M230" s="3689"/>
      <c r="N230" s="3689"/>
      <c r="O230" s="3689"/>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689" t="s">
        <v>4689</v>
      </c>
      <c r="C232" s="3689"/>
      <c r="D232" s="3689"/>
      <c r="E232" s="3689"/>
      <c r="F232" s="3689"/>
      <c r="G232" s="3689"/>
      <c r="H232" s="3689"/>
      <c r="I232" s="3689"/>
      <c r="J232" s="3689"/>
      <c r="K232" s="3689"/>
      <c r="L232" s="3689"/>
      <c r="M232" s="3689"/>
      <c r="N232" s="3689"/>
      <c r="O232" s="3689"/>
      <c r="P232" s="2092"/>
      <c r="Q232" s="2091"/>
      <c r="AA232" s="2492">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3271</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3272</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5007</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 customHeight="1">
      <c r="A250" s="1947"/>
      <c r="B250" s="1934" t="s">
        <v>2431</v>
      </c>
      <c r="D250" s="1950"/>
      <c r="E250" s="1950"/>
      <c r="O250" s="1943"/>
      <c r="P250" s="3668"/>
      <c r="Q250" s="3669"/>
      <c r="AA250" s="2492">
        <v>249</v>
      </c>
    </row>
    <row r="251" spans="1:27" ht="15.6" customHeight="1">
      <c r="A251" s="1947"/>
      <c r="B251" s="1934" t="s">
        <v>3058</v>
      </c>
      <c r="D251" s="1950"/>
      <c r="E251" s="1950"/>
      <c r="O251" s="1943"/>
      <c r="P251" s="3696"/>
      <c r="Q251" s="3730"/>
      <c r="AA251" s="2492">
        <v>250</v>
      </c>
    </row>
    <row r="252" spans="1:27" ht="15.6" customHeight="1">
      <c r="A252" s="1947"/>
      <c r="B252" s="1934" t="s">
        <v>689</v>
      </c>
      <c r="D252" s="3604"/>
      <c r="E252" s="3731"/>
      <c r="F252" s="3731"/>
      <c r="G252" s="3731"/>
      <c r="H252" s="3731"/>
      <c r="I252" s="3731"/>
      <c r="J252" s="3731"/>
      <c r="K252" s="3731"/>
      <c r="L252" s="3731"/>
      <c r="M252" s="3731"/>
      <c r="N252" s="3731"/>
      <c r="O252" s="3731"/>
      <c r="P252" s="3732"/>
      <c r="Q252" s="3733"/>
      <c r="AA252" s="2492">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c r="B254" s="3731"/>
      <c r="C254" s="3731"/>
      <c r="D254" s="3731"/>
      <c r="E254" s="3731"/>
      <c r="F254" s="3731"/>
      <c r="G254" s="3731"/>
      <c r="H254" s="3731"/>
      <c r="I254" s="3731"/>
      <c r="J254" s="3731"/>
      <c r="K254" s="3731"/>
      <c r="L254" s="3731"/>
      <c r="M254" s="3731"/>
      <c r="N254" s="3731"/>
      <c r="O254" s="3731"/>
      <c r="P254" s="3731"/>
      <c r="Q254" s="373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3289</v>
      </c>
      <c r="B259" s="1933" t="s">
        <v>3814</v>
      </c>
      <c r="C259" s="1933"/>
      <c r="D259" s="1933"/>
      <c r="E259" s="1933"/>
      <c r="F259" s="1933"/>
      <c r="G259" s="1933"/>
      <c r="H259" s="1940"/>
      <c r="I259" s="1940"/>
      <c r="J259" s="1940"/>
      <c r="K259" s="1940"/>
      <c r="L259" s="1940"/>
      <c r="M259" s="1940"/>
      <c r="O259" s="1936" t="s">
        <v>1726</v>
      </c>
      <c r="P259" s="3607"/>
      <c r="Q259" s="3644"/>
      <c r="AA259" s="2492">
        <v>258</v>
      </c>
    </row>
    <row r="260" spans="1:27" ht="15.6" customHeight="1">
      <c r="B260" s="1934" t="s">
        <v>4148</v>
      </c>
      <c r="O260" s="1943"/>
      <c r="P260" s="3621"/>
      <c r="Q260" s="3622"/>
      <c r="AA260" s="2492">
        <v>259</v>
      </c>
    </row>
    <row r="261" spans="1:27" ht="15.6" customHeight="1">
      <c r="A261" s="1947"/>
      <c r="B261" s="3740" t="s">
        <v>700</v>
      </c>
      <c r="C261" s="3740"/>
      <c r="D261" s="3740"/>
      <c r="E261" s="3740"/>
      <c r="F261" s="3740"/>
      <c r="G261" s="3740"/>
      <c r="H261" s="3740"/>
      <c r="I261" s="3740"/>
      <c r="J261" s="3740"/>
      <c r="K261" s="3740"/>
      <c r="L261" s="3740"/>
      <c r="M261" s="3740"/>
      <c r="N261" s="3740"/>
      <c r="O261" s="3740"/>
      <c r="P261" s="3668"/>
      <c r="Q261" s="3669"/>
      <c r="AA261" s="2492">
        <v>260</v>
      </c>
    </row>
    <row r="262" spans="1:27" ht="15.6" customHeight="1">
      <c r="B262" s="3740" t="s">
        <v>4817</v>
      </c>
      <c r="C262" s="3740"/>
      <c r="D262" s="3740"/>
      <c r="E262" s="3740"/>
      <c r="F262" s="3740"/>
      <c r="G262" s="3740"/>
      <c r="H262" s="3740"/>
      <c r="I262" s="3740"/>
      <c r="J262" s="3740"/>
      <c r="K262" s="3740"/>
      <c r="L262" s="3740"/>
      <c r="M262" s="3740"/>
      <c r="N262" s="3740"/>
      <c r="O262" s="3740"/>
      <c r="P262" s="3696"/>
      <c r="Q262" s="3730"/>
      <c r="AA262" s="2493">
        <v>261</v>
      </c>
    </row>
    <row r="263" spans="1:27" ht="27.95" customHeight="1">
      <c r="A263" s="1947"/>
      <c r="B263" s="3741" t="s">
        <v>4816</v>
      </c>
      <c r="C263" s="3741"/>
      <c r="D263" s="3741"/>
      <c r="E263" s="3741"/>
      <c r="F263" s="3741"/>
      <c r="G263" s="3741"/>
      <c r="H263" s="3741"/>
      <c r="I263" s="3741"/>
      <c r="J263" s="3741"/>
      <c r="K263" s="3741"/>
      <c r="L263" s="3741"/>
      <c r="M263" s="3741"/>
      <c r="N263" s="3741"/>
      <c r="O263" s="3741"/>
      <c r="P263" s="3698"/>
      <c r="Q263" s="3704"/>
      <c r="AA263" s="2492">
        <v>262</v>
      </c>
    </row>
    <row r="264" spans="1:27" ht="17.100000000000001" customHeight="1">
      <c r="B264" s="1954" t="s">
        <v>3156</v>
      </c>
      <c r="D264" s="1954"/>
      <c r="E264" s="1954"/>
      <c r="F264" s="1954"/>
      <c r="G264" s="1954"/>
      <c r="H264" s="1942"/>
      <c r="I264" s="1935"/>
      <c r="J264" s="1935"/>
      <c r="K264" s="1935"/>
      <c r="AA264" s="2492">
        <v>263</v>
      </c>
    </row>
    <row r="265" spans="1:27" ht="20.25" customHeight="1">
      <c r="A265" s="3604"/>
      <c r="B265" s="3731"/>
      <c r="C265" s="3731"/>
      <c r="D265" s="3731"/>
      <c r="E265" s="3731"/>
      <c r="F265" s="3731"/>
      <c r="G265" s="3731"/>
      <c r="H265" s="3731"/>
      <c r="I265" s="3731"/>
      <c r="J265" s="3731"/>
      <c r="K265" s="3731"/>
      <c r="L265" s="3731"/>
      <c r="M265" s="3731"/>
      <c r="N265" s="3731"/>
      <c r="O265" s="3731"/>
      <c r="P265" s="3731"/>
      <c r="Q265" s="373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3290</v>
      </c>
      <c r="B270" s="1933" t="s">
        <v>2501</v>
      </c>
      <c r="C270" s="1933"/>
      <c r="D270" s="1933"/>
      <c r="E270" s="1940"/>
      <c r="F270" s="1940"/>
      <c r="G270" s="1940"/>
      <c r="H270" s="1940"/>
      <c r="O270" s="1936" t="s">
        <v>1726</v>
      </c>
      <c r="P270" s="3611"/>
      <c r="Q270" s="3611"/>
      <c r="AA270" s="2492">
        <v>269</v>
      </c>
    </row>
    <row r="271" spans="1:27" ht="28.5" customHeight="1">
      <c r="A271" s="1937"/>
      <c r="B271" s="3612" t="s">
        <v>5018</v>
      </c>
      <c r="C271" s="3612"/>
      <c r="D271" s="3612"/>
      <c r="E271" s="3612"/>
      <c r="F271" s="3612"/>
      <c r="G271" s="3612"/>
      <c r="H271" s="3612"/>
      <c r="I271" s="3612"/>
      <c r="J271" s="3612"/>
      <c r="K271" s="3612"/>
      <c r="L271" s="3612"/>
      <c r="M271" s="3612"/>
      <c r="N271" s="3612"/>
      <c r="O271" s="1992"/>
      <c r="P271" s="3621"/>
      <c r="Q271" s="3622"/>
      <c r="AA271" s="2493">
        <v>270</v>
      </c>
    </row>
    <row r="272" spans="1:27" ht="44.45" customHeight="1">
      <c r="A272" s="1963"/>
      <c r="B272" s="3689" t="s">
        <v>4692</v>
      </c>
      <c r="C272" s="3689"/>
      <c r="D272" s="3689"/>
      <c r="E272" s="3689"/>
      <c r="F272" s="3689"/>
      <c r="G272" s="3689"/>
      <c r="H272" s="3689"/>
      <c r="I272" s="3689"/>
      <c r="J272" s="3689"/>
      <c r="K272" s="3689"/>
      <c r="L272" s="3689"/>
      <c r="M272" s="3689"/>
      <c r="N272" s="3689"/>
      <c r="O272" s="3690"/>
      <c r="P272" s="3693"/>
      <c r="Q272" s="3693"/>
      <c r="AA272" s="2492">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c r="B274" s="3731"/>
      <c r="C274" s="3731"/>
      <c r="D274" s="3731"/>
      <c r="E274" s="3731"/>
      <c r="F274" s="3731"/>
      <c r="G274" s="3731"/>
      <c r="H274" s="3731"/>
      <c r="I274" s="3731"/>
      <c r="J274" s="3731"/>
      <c r="K274" s="3731"/>
      <c r="L274" s="3731"/>
      <c r="M274" s="3731"/>
      <c r="N274" s="3731"/>
      <c r="O274" s="3731"/>
      <c r="P274" s="3731"/>
      <c r="Q274" s="373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3291</v>
      </c>
      <c r="B279" s="1941" t="s">
        <v>4818</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689" t="s">
        <v>5008</v>
      </c>
      <c r="C281" s="3689"/>
      <c r="D281" s="3689"/>
      <c r="E281" s="3689"/>
      <c r="F281" s="3689"/>
      <c r="G281" s="3689"/>
      <c r="H281" s="3689"/>
      <c r="I281" s="3689"/>
      <c r="J281" s="3689"/>
      <c r="K281" s="3689"/>
      <c r="L281" s="3689"/>
      <c r="M281" s="3689"/>
      <c r="N281" s="3689"/>
      <c r="O281" s="3690"/>
      <c r="P281" s="3742"/>
      <c r="Q281" s="3743"/>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689" t="s">
        <v>5015</v>
      </c>
      <c r="C283" s="3689"/>
      <c r="D283" s="3689"/>
      <c r="E283" s="3689"/>
      <c r="F283" s="3689"/>
      <c r="G283" s="3689"/>
      <c r="H283" s="3689"/>
      <c r="I283" s="3689"/>
      <c r="J283" s="3689"/>
      <c r="K283" s="3689"/>
      <c r="L283" s="3689"/>
      <c r="M283" s="3689"/>
      <c r="N283" s="3689"/>
      <c r="O283" s="3690"/>
      <c r="P283" s="3742"/>
      <c r="Q283" s="3743"/>
      <c r="AA283" s="2492">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3292</v>
      </c>
      <c r="B290" s="1941" t="s">
        <v>4821</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5009</v>
      </c>
      <c r="C291" s="3612"/>
      <c r="D291" s="3612"/>
      <c r="E291" s="3612"/>
      <c r="F291" s="3612"/>
      <c r="G291" s="3612"/>
      <c r="H291" s="3612"/>
      <c r="I291" s="3612"/>
      <c r="J291" s="3612"/>
      <c r="K291" s="3612"/>
      <c r="L291" s="3612"/>
      <c r="M291" s="3612"/>
      <c r="N291" s="3612"/>
      <c r="O291" s="3613"/>
      <c r="P291" s="3693"/>
      <c r="Q291" s="3693"/>
      <c r="AA291" s="2492">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3293</v>
      </c>
      <c r="B298" s="1933" t="s">
        <v>4823</v>
      </c>
      <c r="C298" s="1937"/>
      <c r="D298" s="1933"/>
      <c r="E298" s="1940"/>
      <c r="F298" s="1940"/>
      <c r="G298" s="1940"/>
      <c r="H298" s="1940"/>
      <c r="J298" s="1940"/>
      <c r="K298" s="1940"/>
      <c r="L298" s="1940"/>
      <c r="M298" s="1940"/>
      <c r="O298" s="1936" t="s">
        <v>1726</v>
      </c>
      <c r="P298" s="3607"/>
      <c r="Q298" s="3644"/>
      <c r="S298" s="1937"/>
      <c r="T298" s="1937"/>
      <c r="AA298" s="2493">
        <v>297</v>
      </c>
    </row>
    <row r="299" spans="1:27" ht="15">
      <c r="A299" s="1941"/>
      <c r="B299" s="3612" t="s">
        <v>5019</v>
      </c>
      <c r="C299" s="3612"/>
      <c r="D299" s="3612"/>
      <c r="E299" s="3612"/>
      <c r="F299" s="3612"/>
      <c r="G299" s="3612"/>
      <c r="H299" s="3612"/>
      <c r="I299" s="3612"/>
      <c r="J299" s="3612"/>
      <c r="K299" s="3612"/>
      <c r="L299" s="3612"/>
      <c r="M299" s="3612"/>
      <c r="N299" s="3612"/>
      <c r="O299" s="3613"/>
      <c r="P299" s="3693"/>
      <c r="Q299" s="3693"/>
      <c r="AA299" s="2492">
        <v>298</v>
      </c>
    </row>
    <row r="300" spans="1:27" ht="30" customHeight="1">
      <c r="A300" s="1941"/>
      <c r="B300" s="3689" t="s">
        <v>4824</v>
      </c>
      <c r="C300" s="3689"/>
      <c r="D300" s="3689"/>
      <c r="E300" s="3689"/>
      <c r="F300" s="3689"/>
      <c r="G300" s="3689"/>
      <c r="H300" s="3689"/>
      <c r="I300" s="3689"/>
      <c r="J300" s="3689"/>
      <c r="K300" s="3689"/>
      <c r="L300" s="3689"/>
      <c r="M300" s="3689"/>
      <c r="N300" s="3689"/>
      <c r="O300" s="3690"/>
      <c r="P300" s="3744"/>
      <c r="Q300" s="3744"/>
      <c r="AA300" s="2492">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3194</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3195</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3249</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3170</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3171</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3172</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3245</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ItTQPorr4wbUgRgglplGzPlGAjlCz5gQi/tPtbfouHpTATFiqbPPm2UwH4KO1w5SJxZvjNMdJUy45CnSWlEhw==" saltValue="Scnhxk1UyFa3ei2T/mbP0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rintOptions horizontalCentered="1"/>
  <pageMargins left="0.25" right="0.25" top="0.75" bottom="0.5" header="0.3" footer="0.3"/>
  <pageSetup scale="94" fitToHeight="0" orientation="landscape"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dimension ref="A1:BF803"/>
  <sheetViews>
    <sheetView showGridLines="0" topLeftCell="A134" zoomScaleNormal="100" workbookViewId="0">
      <selection activeCell="T141" sqref="T14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5" t="str">
        <f>CONCATENATE("PART EIGHT - SCORING CRITERIA","  -  ",'Part I-Project Identification'!$O$7," ",'Part I-Project Identification'!$F$26,", ",'Part I-Project Identification'!F27,", ",'Part I-Project Identification'!J27," County")</f>
        <v>PART EIGHT - SCORING CRITERIA  -  2024-0 Flats at Lake View II, Warner Robins, Houston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8" t="s">
        <v>5017</v>
      </c>
      <c r="B3" s="3748"/>
      <c r="C3" s="3748"/>
      <c r="D3" s="3748"/>
      <c r="E3" s="3748"/>
      <c r="F3" s="3748"/>
      <c r="G3" s="3748"/>
      <c r="H3" s="3748"/>
      <c r="I3" s="3748"/>
      <c r="J3" s="3748"/>
      <c r="K3" s="3748"/>
      <c r="L3" s="3748"/>
      <c r="M3" s="2113" t="s">
        <v>4732</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81</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0" t="s">
        <v>4751</v>
      </c>
      <c r="B10" s="3750"/>
      <c r="C10" s="3750"/>
      <c r="D10" s="3750"/>
      <c r="E10" s="3751" t="str">
        <f>IF(OR((C12-A12&gt;0),(D12-A12&gt;0)),"Points Exceed Max!","")</f>
        <v/>
      </c>
      <c r="F10" s="3752" t="s">
        <v>4715</v>
      </c>
      <c r="G10" s="3753"/>
      <c r="H10" s="3753"/>
      <c r="I10" s="3754"/>
      <c r="J10" s="3758" t="s">
        <v>4041</v>
      </c>
      <c r="K10" s="3759"/>
      <c r="L10" s="3759"/>
      <c r="M10" s="3760"/>
      <c r="O10" s="3764" t="s">
        <v>4716</v>
      </c>
      <c r="P10" s="3764"/>
      <c r="Q10" s="2134"/>
      <c r="AM10" s="2494">
        <v>10</v>
      </c>
    </row>
    <row r="11" spans="1:39" ht="13.5" customHeight="1">
      <c r="A11" s="3766" t="s">
        <v>4732</v>
      </c>
      <c r="B11" s="3767"/>
      <c r="C11" s="2135" t="s">
        <v>2880</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4767</v>
      </c>
      <c r="G12" s="3792"/>
      <c r="H12" s="3795" t="s">
        <v>4606</v>
      </c>
      <c r="I12" s="3796"/>
      <c r="J12" s="3799" t="s">
        <v>4002</v>
      </c>
      <c r="K12" s="3799"/>
      <c r="L12" s="3795" t="s">
        <v>4607</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4" t="s">
        <v>4952</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7" t="s">
        <v>3910</v>
      </c>
      <c r="D16" s="3778"/>
      <c r="E16" s="3778"/>
      <c r="F16" s="3778"/>
      <c r="G16" s="3779"/>
      <c r="H16" s="3780" t="s">
        <v>4953</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5040</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4955</v>
      </c>
      <c r="D23" s="2145"/>
      <c r="E23" s="2145"/>
      <c r="G23" s="2108"/>
      <c r="L23" s="2146"/>
      <c r="M23" s="2111">
        <v>3</v>
      </c>
      <c r="N23" s="2152"/>
      <c r="O23" s="2006" t="s">
        <v>5148</v>
      </c>
      <c r="P23" s="2155"/>
      <c r="Q23" s="2149"/>
      <c r="R23" s="2150"/>
      <c r="T23" s="2140"/>
      <c r="U23" s="2140"/>
      <c r="AM23" s="2495">
        <v>23</v>
      </c>
    </row>
    <row r="24" spans="1:39" s="2109" customFormat="1" ht="15.95" customHeight="1">
      <c r="A24" s="2112"/>
      <c r="B24" s="2154" t="s">
        <v>2326</v>
      </c>
      <c r="C24" s="2141" t="s">
        <v>4956</v>
      </c>
      <c r="D24" s="2145"/>
      <c r="E24" s="2145"/>
      <c r="G24" s="2108"/>
      <c r="K24" s="2147"/>
      <c r="M24" s="2111">
        <v>1</v>
      </c>
      <c r="N24" s="2152"/>
      <c r="O24" s="2003" t="s">
        <v>5148</v>
      </c>
      <c r="P24" s="2156"/>
      <c r="R24" s="2108"/>
      <c r="T24" s="2140"/>
      <c r="U24" s="2140"/>
      <c r="AM24" s="2495">
        <v>24</v>
      </c>
    </row>
    <row r="25" spans="1:39" ht="15.95"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4957</v>
      </c>
      <c r="C26" s="3786"/>
      <c r="D26" s="3786"/>
      <c r="E26" s="3786"/>
      <c r="F26" s="3786"/>
      <c r="G26" s="3786"/>
      <c r="H26" s="3786"/>
      <c r="I26" s="3786"/>
      <c r="J26" s="3786"/>
      <c r="K26" s="3786"/>
      <c r="L26" s="3786"/>
      <c r="M26" s="2111"/>
      <c r="N26" s="2147"/>
      <c r="O26" s="2021" t="s">
        <v>5148</v>
      </c>
      <c r="P26" s="2160"/>
      <c r="R26" s="2146"/>
      <c r="T26" s="2140"/>
      <c r="U26" s="2140"/>
      <c r="AM26" s="2495">
        <v>26</v>
      </c>
    </row>
    <row r="27" spans="1:39" ht="15.95"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1" t="s">
        <v>4958</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5148</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5148</v>
      </c>
      <c r="P30" s="2162"/>
      <c r="R30" s="2168"/>
      <c r="T30" s="2169"/>
      <c r="U30" s="2169"/>
      <c r="AM30" s="2494">
        <v>30</v>
      </c>
    </row>
    <row r="31" spans="1:39" s="2164" customFormat="1">
      <c r="B31" s="2163" t="s">
        <v>4961</v>
      </c>
      <c r="D31" s="2161"/>
      <c r="E31" s="2161"/>
      <c r="F31" s="2161"/>
      <c r="G31" s="2161"/>
      <c r="H31" s="2161"/>
      <c r="J31" s="3802"/>
      <c r="K31" s="3803"/>
      <c r="L31" s="3803"/>
      <c r="M31" s="3804"/>
      <c r="N31" s="2166"/>
      <c r="O31" s="2166"/>
      <c r="P31" s="2166"/>
      <c r="R31" s="2168"/>
      <c r="T31" s="2169"/>
      <c r="U31" s="2169"/>
      <c r="AM31" s="2494">
        <v>31</v>
      </c>
    </row>
    <row r="32" spans="1:39" s="2164" customFormat="1">
      <c r="B32" s="2154" t="s">
        <v>2326</v>
      </c>
      <c r="C32" s="3801" t="s">
        <v>4962</v>
      </c>
      <c r="D32" s="3801"/>
      <c r="E32" s="3801"/>
      <c r="F32" s="3801"/>
      <c r="G32" s="3801"/>
      <c r="H32" s="3801"/>
      <c r="I32" s="3801"/>
      <c r="J32" s="3801"/>
      <c r="K32" s="3801"/>
      <c r="L32" s="3801"/>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4725</v>
      </c>
      <c r="D38" s="2133"/>
      <c r="E38" s="2133"/>
      <c r="J38" s="2178"/>
      <c r="M38" s="2179"/>
      <c r="O38" s="3808" t="s">
        <v>4726</v>
      </c>
      <c r="P38" s="3808" t="s">
        <v>3066</v>
      </c>
      <c r="Q38" s="2144"/>
      <c r="R38" s="2106"/>
      <c r="S38" s="2106"/>
      <c r="T38" s="2106"/>
      <c r="U38" s="2106"/>
      <c r="V38" s="2106"/>
      <c r="W38" s="2108"/>
      <c r="X38" s="2108"/>
      <c r="AM38" s="2495">
        <v>38</v>
      </c>
    </row>
    <row r="39" spans="1:39" s="2109" customFormat="1" ht="15.95" customHeight="1">
      <c r="A39" s="2132"/>
      <c r="C39" s="2109" t="s">
        <v>4587</v>
      </c>
      <c r="G39" s="3811" t="s">
        <v>2843</v>
      </c>
      <c r="H39" s="3812"/>
      <c r="I39" s="3813"/>
      <c r="J39" s="3814"/>
      <c r="K39" s="2356"/>
      <c r="M39" s="2179"/>
      <c r="O39" s="3809"/>
      <c r="P39" s="3809"/>
      <c r="Q39" s="2144"/>
      <c r="V39" s="2106"/>
      <c r="W39" s="2108"/>
      <c r="X39" s="2108"/>
      <c r="AM39" s="2494">
        <v>39</v>
      </c>
    </row>
    <row r="40" spans="1:39" s="2109" customFormat="1" ht="15.95" customHeight="1">
      <c r="A40" s="2132"/>
      <c r="C40" s="2109" t="s">
        <v>4963</v>
      </c>
      <c r="G40" s="3815" t="s">
        <v>5170</v>
      </c>
      <c r="H40" s="3816"/>
      <c r="I40" s="2180"/>
      <c r="J40" s="2181"/>
      <c r="M40" s="2179"/>
      <c r="O40" s="3809"/>
      <c r="P40" s="3809"/>
      <c r="Q40" s="2144"/>
      <c r="V40" s="2106"/>
      <c r="W40" s="2108"/>
      <c r="X40" s="2108"/>
      <c r="AM40" s="2494">
        <v>40</v>
      </c>
    </row>
    <row r="41" spans="1:39" s="2109" customFormat="1" ht="15.95" customHeight="1">
      <c r="A41" s="2132"/>
      <c r="C41" s="2109" t="s">
        <v>4586</v>
      </c>
      <c r="G41" s="3817" t="s">
        <v>2843</v>
      </c>
      <c r="H41" s="3818"/>
      <c r="I41" s="2356"/>
      <c r="M41" s="2179"/>
      <c r="O41" s="3810"/>
      <c r="P41" s="3810"/>
      <c r="Q41" s="2144"/>
      <c r="V41" s="2106"/>
      <c r="W41" s="2108"/>
      <c r="X41" s="2108"/>
      <c r="AM41" s="2494">
        <v>41</v>
      </c>
    </row>
    <row r="42" spans="1:39" ht="28.5" customHeight="1" thickBot="1">
      <c r="A42" s="2183"/>
      <c r="B42" s="2147"/>
      <c r="C42" s="3786" t="s">
        <v>4857</v>
      </c>
      <c r="D42" s="3786"/>
      <c r="E42" s="3786"/>
      <c r="F42" s="3786"/>
      <c r="G42" s="3786"/>
      <c r="H42" s="3786"/>
      <c r="I42" s="3786"/>
      <c r="J42" s="3786"/>
      <c r="K42" s="3786"/>
      <c r="L42" s="378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4965</v>
      </c>
      <c r="D47" s="2163"/>
      <c r="L47" s="2163"/>
      <c r="M47" s="2129"/>
      <c r="N47" s="2147"/>
      <c r="O47" s="2019" t="s">
        <v>5148</v>
      </c>
      <c r="P47" s="2187"/>
      <c r="Q47" s="2185"/>
      <c r="R47" s="2150"/>
      <c r="S47" s="2106"/>
      <c r="T47" s="2106"/>
      <c r="U47" s="2106"/>
      <c r="V47" s="2106"/>
      <c r="AM47" s="2494">
        <v>47</v>
      </c>
    </row>
    <row r="48" spans="1:39" ht="28.5" customHeight="1">
      <c r="A48" s="2112"/>
      <c r="B48" s="3801" t="s">
        <v>4858</v>
      </c>
      <c r="C48" s="3801"/>
      <c r="D48" s="3801"/>
      <c r="E48" s="3801"/>
      <c r="F48" s="3801"/>
      <c r="G48" s="3801"/>
      <c r="H48" s="3801"/>
      <c r="I48" s="3801"/>
      <c r="J48" s="3801"/>
      <c r="K48" s="3801"/>
      <c r="L48" s="3801"/>
      <c r="M48" s="3801"/>
      <c r="N48" s="2147"/>
      <c r="O48" s="2103" t="s">
        <v>5148</v>
      </c>
      <c r="P48" s="2190"/>
      <c r="Q48" s="2185"/>
      <c r="R48" s="2150"/>
      <c r="S48" s="2106"/>
      <c r="T48" s="2106"/>
      <c r="U48" s="2106"/>
      <c r="V48" s="2106"/>
      <c r="AM48" s="2495">
        <v>48</v>
      </c>
    </row>
    <row r="49" spans="1:39" ht="15.95"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829"/>
      <c r="B50" s="3830"/>
      <c r="C50" s="3830"/>
      <c r="D50" s="3830"/>
      <c r="E50" s="3830"/>
      <c r="F50" s="3830"/>
      <c r="G50" s="3830"/>
      <c r="H50" s="3830"/>
      <c r="I50" s="3830"/>
      <c r="J50" s="3830"/>
      <c r="K50" s="3830"/>
      <c r="L50" s="3830"/>
      <c r="M50" s="3830"/>
      <c r="N50" s="3830"/>
      <c r="O50" s="3830"/>
      <c r="P50" s="3831"/>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3259</v>
      </c>
      <c r="D55" s="2193"/>
      <c r="E55" s="2193"/>
      <c r="F55" s="2109"/>
      <c r="G55" s="2109"/>
      <c r="H55" s="2109"/>
      <c r="J55" s="2194"/>
      <c r="K55" s="2179"/>
      <c r="L55" s="2142" t="s">
        <v>4896</v>
      </c>
      <c r="M55" s="2122">
        <v>5</v>
      </c>
      <c r="N55" s="2111"/>
      <c r="O55" s="2195">
        <f>O56+O78</f>
        <v>0</v>
      </c>
      <c r="P55" s="2195">
        <f>P56+P78</f>
        <v>0</v>
      </c>
      <c r="Q55" s="2144" t="s">
        <v>415</v>
      </c>
      <c r="AM55" s="2495">
        <v>55</v>
      </c>
    </row>
    <row r="56" spans="1:39" ht="15.95" customHeight="1" thickBot="1">
      <c r="A56" s="2196" t="s">
        <v>1836</v>
      </c>
      <c r="B56" s="2120" t="s">
        <v>3260</v>
      </c>
      <c r="L56" s="2146" t="str">
        <f>IF(O56&lt;=M56,"","* * Check Score! * *")</f>
        <v/>
      </c>
      <c r="M56" s="2111">
        <v>4</v>
      </c>
      <c r="N56" s="2147"/>
      <c r="O56" s="2022"/>
      <c r="P56" s="2197"/>
      <c r="Q56" s="2149" t="str">
        <f>IF(O56&lt;=M56,"","*CHECK!*")</f>
        <v/>
      </c>
      <c r="R56" s="2125"/>
      <c r="S56" s="2125"/>
      <c r="T56" s="2107"/>
      <c r="AM56" s="2495">
        <v>56</v>
      </c>
    </row>
    <row r="57" spans="1:39" ht="30.95" customHeight="1">
      <c r="A57" s="2196"/>
      <c r="B57" s="3832" t="s">
        <v>4861</v>
      </c>
      <c r="C57" s="3832"/>
      <c r="D57" s="3832"/>
      <c r="E57" s="3832"/>
      <c r="F57" s="3832"/>
      <c r="G57" s="3832"/>
      <c r="H57" s="3832"/>
      <c r="I57" s="3832"/>
      <c r="J57" s="3832"/>
      <c r="K57" s="3832"/>
      <c r="L57" s="3832"/>
      <c r="N57" s="2108"/>
      <c r="O57" s="2023"/>
      <c r="P57" s="2198"/>
      <c r="R57" s="2125"/>
      <c r="S57" s="2125"/>
      <c r="T57" s="2107"/>
      <c r="AM57" s="2494">
        <v>57</v>
      </c>
    </row>
    <row r="58" spans="1:39" ht="15.95"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 customHeight="1">
      <c r="A59" s="2147"/>
      <c r="B59" s="2151" t="s">
        <v>1839</v>
      </c>
      <c r="C59" s="2109" t="s">
        <v>1386</v>
      </c>
      <c r="I59" s="2147"/>
      <c r="J59" s="3819"/>
      <c r="K59" s="3820"/>
      <c r="L59" s="2147"/>
      <c r="M59" s="3821"/>
      <c r="N59" s="3822"/>
      <c r="O59" s="3822"/>
      <c r="P59" s="3823"/>
      <c r="R59" s="2146"/>
      <c r="AM59" s="2495">
        <v>59</v>
      </c>
    </row>
    <row r="60" spans="1:39" ht="14.1" customHeight="1">
      <c r="A60" s="2142"/>
      <c r="B60" s="2154" t="s">
        <v>1841</v>
      </c>
      <c r="C60" s="2109" t="s">
        <v>3071</v>
      </c>
      <c r="I60" s="2166"/>
      <c r="J60" s="3824"/>
      <c r="K60" s="3825"/>
      <c r="L60" s="2166"/>
      <c r="M60" s="3826"/>
      <c r="N60" s="3827"/>
      <c r="O60" s="3827"/>
      <c r="P60" s="3828"/>
      <c r="AM60" s="2495">
        <v>60</v>
      </c>
    </row>
    <row r="61" spans="1:39" ht="14.1" customHeight="1">
      <c r="B61" s="2151" t="s">
        <v>2326</v>
      </c>
      <c r="C61" s="2109" t="s">
        <v>3829</v>
      </c>
      <c r="I61" s="2147"/>
      <c r="J61" s="3824"/>
      <c r="K61" s="3825"/>
      <c r="L61" s="2147"/>
      <c r="M61" s="3826"/>
      <c r="N61" s="3827"/>
      <c r="O61" s="3827"/>
      <c r="P61" s="3828"/>
      <c r="AM61" s="2495">
        <v>61</v>
      </c>
    </row>
    <row r="62" spans="1:39" ht="14.1" customHeight="1">
      <c r="B62" s="2151" t="s">
        <v>1149</v>
      </c>
      <c r="C62" s="2109" t="s">
        <v>4859</v>
      </c>
      <c r="I62" s="2147"/>
      <c r="J62" s="3824"/>
      <c r="K62" s="3825"/>
      <c r="L62" s="2147"/>
      <c r="M62" s="3826"/>
      <c r="N62" s="3827"/>
      <c r="O62" s="3827"/>
      <c r="P62" s="3828"/>
      <c r="AM62" s="2495">
        <v>62</v>
      </c>
    </row>
    <row r="63" spans="1:39" ht="14.1" customHeight="1">
      <c r="A63" s="2142"/>
      <c r="B63" s="2154" t="s">
        <v>1150</v>
      </c>
      <c r="C63" s="2109" t="s">
        <v>2987</v>
      </c>
      <c r="I63" s="2147"/>
      <c r="J63" s="3824"/>
      <c r="K63" s="3825"/>
      <c r="L63" s="2147"/>
      <c r="M63" s="3826"/>
      <c r="N63" s="3827"/>
      <c r="O63" s="3827"/>
      <c r="P63" s="3828"/>
      <c r="AM63" s="2494">
        <v>63</v>
      </c>
    </row>
    <row r="64" spans="1:39" ht="14.1" customHeight="1">
      <c r="A64" s="2147"/>
      <c r="B64" s="2151" t="s">
        <v>1737</v>
      </c>
      <c r="C64" s="2109" t="s">
        <v>2466</v>
      </c>
      <c r="I64" s="2166"/>
      <c r="J64" s="3824"/>
      <c r="K64" s="3825"/>
      <c r="L64" s="2166"/>
      <c r="M64" s="3826"/>
      <c r="N64" s="3827"/>
      <c r="O64" s="3827"/>
      <c r="P64" s="3828"/>
      <c r="AM64" s="2495">
        <v>64</v>
      </c>
    </row>
    <row r="65" spans="1:39" ht="14.1" customHeight="1">
      <c r="B65" s="2151" t="s">
        <v>472</v>
      </c>
      <c r="C65" s="2109" t="s">
        <v>1385</v>
      </c>
      <c r="I65" s="2147"/>
      <c r="J65" s="3824"/>
      <c r="K65" s="3825"/>
      <c r="L65" s="2147"/>
      <c r="M65" s="3826"/>
      <c r="N65" s="3827"/>
      <c r="O65" s="3827"/>
      <c r="P65" s="3828"/>
      <c r="AM65" s="2494">
        <v>65</v>
      </c>
    </row>
    <row r="66" spans="1:39" ht="14.1" customHeight="1">
      <c r="B66" s="2151" t="s">
        <v>473</v>
      </c>
      <c r="C66" s="2109" t="s">
        <v>4130</v>
      </c>
      <c r="I66" s="2147"/>
      <c r="J66" s="3824"/>
      <c r="K66" s="3825"/>
      <c r="L66" s="2147"/>
      <c r="M66" s="3826"/>
      <c r="N66" s="3827"/>
      <c r="O66" s="3827"/>
      <c r="P66" s="3828"/>
      <c r="R66" s="2146"/>
      <c r="AM66" s="2494">
        <v>66</v>
      </c>
    </row>
    <row r="67" spans="1:39" ht="14.1" customHeight="1">
      <c r="A67" s="2142"/>
      <c r="B67" s="2151" t="s">
        <v>3765</v>
      </c>
      <c r="C67" s="2109" t="s">
        <v>3070</v>
      </c>
      <c r="I67" s="2147"/>
      <c r="J67" s="3824"/>
      <c r="K67" s="3825"/>
      <c r="L67" s="2147"/>
      <c r="M67" s="3826"/>
      <c r="N67" s="3827"/>
      <c r="O67" s="3827"/>
      <c r="P67" s="3828"/>
      <c r="R67" s="2146"/>
      <c r="AM67" s="2494">
        <v>67</v>
      </c>
    </row>
    <row r="68" spans="1:39" ht="14.1" customHeight="1">
      <c r="B68" s="2151" t="s">
        <v>4706</v>
      </c>
      <c r="C68" s="2109" t="s">
        <v>4705</v>
      </c>
      <c r="I68" s="2147"/>
      <c r="J68" s="3824"/>
      <c r="K68" s="3825"/>
      <c r="L68" s="2147"/>
      <c r="M68" s="3826"/>
      <c r="N68" s="3827"/>
      <c r="O68" s="3827"/>
      <c r="P68" s="3828"/>
      <c r="R68" s="2146"/>
      <c r="AM68" s="2494">
        <v>68</v>
      </c>
    </row>
    <row r="69" spans="1:39" ht="14.1" customHeight="1">
      <c r="B69" s="2151" t="s">
        <v>4707</v>
      </c>
      <c r="C69" s="2109" t="s">
        <v>4727</v>
      </c>
      <c r="I69" s="2147"/>
      <c r="J69" s="3824"/>
      <c r="K69" s="3825"/>
      <c r="L69" s="2147"/>
      <c r="M69" s="3826"/>
      <c r="N69" s="3827"/>
      <c r="O69" s="3827"/>
      <c r="P69" s="3828"/>
      <c r="R69" s="2146"/>
      <c r="AM69" s="2494">
        <v>69</v>
      </c>
    </row>
    <row r="70" spans="1:39" ht="14.1" customHeight="1" thickBot="1">
      <c r="B70" s="2151" t="s">
        <v>4860</v>
      </c>
      <c r="C70" s="2109" t="s">
        <v>4728</v>
      </c>
      <c r="I70" s="2147"/>
      <c r="J70" s="3824"/>
      <c r="K70" s="3825"/>
      <c r="L70" s="2147"/>
      <c r="M70" s="3844"/>
      <c r="N70" s="3845"/>
      <c r="O70" s="3845"/>
      <c r="P70" s="3846"/>
      <c r="R70" s="2146"/>
      <c r="AM70" s="2494">
        <v>70</v>
      </c>
    </row>
    <row r="71" spans="1:39" ht="15.95" customHeight="1" thickBot="1">
      <c r="B71" s="2109"/>
      <c r="I71" s="2128" t="s">
        <v>2406</v>
      </c>
      <c r="J71" s="3834">
        <f>SUM(J59:K70)</f>
        <v>0</v>
      </c>
      <c r="K71" s="3835"/>
      <c r="M71" s="3834">
        <f>SUM($M59:$M70)</f>
        <v>0</v>
      </c>
      <c r="N71" s="3836"/>
      <c r="O71" s="3836"/>
      <c r="P71" s="3835"/>
      <c r="U71" s="3750" t="s">
        <v>4733</v>
      </c>
      <c r="V71" s="3750"/>
      <c r="W71" s="3750"/>
      <c r="X71" s="3750"/>
      <c r="Y71" s="3750"/>
      <c r="Z71" s="3750"/>
      <c r="AM71" s="2495">
        <v>71</v>
      </c>
    </row>
    <row r="72" spans="1:39" ht="15.95" customHeight="1">
      <c r="M72" s="2125"/>
      <c r="N72" s="2125"/>
      <c r="O72" s="2108"/>
      <c r="P72" s="2125"/>
      <c r="U72" s="2201" t="s">
        <v>4731</v>
      </c>
      <c r="V72" s="2201" t="s">
        <v>4732</v>
      </c>
      <c r="W72" s="2201" t="s">
        <v>4731</v>
      </c>
      <c r="X72" s="2201" t="s">
        <v>4732</v>
      </c>
      <c r="Y72" s="2201" t="s">
        <v>4731</v>
      </c>
      <c r="Z72" s="2201" t="s">
        <v>4732</v>
      </c>
      <c r="AM72" s="2495">
        <v>72</v>
      </c>
    </row>
    <row r="73" spans="1:39" ht="15.95" customHeight="1">
      <c r="A73" s="2109"/>
      <c r="B73" s="2151"/>
      <c r="C73" s="2193" t="s">
        <v>2405</v>
      </c>
      <c r="D73" s="2127"/>
      <c r="E73" s="2127"/>
      <c r="I73" s="2147" t="s">
        <v>4133</v>
      </c>
      <c r="J73" s="3837">
        <f>'Part V-Revenues &amp; Expenses'!$P$67</f>
        <v>72</v>
      </c>
      <c r="K73" s="3838"/>
      <c r="L73" s="2125"/>
      <c r="M73" s="2125"/>
      <c r="N73" s="2125"/>
      <c r="O73" s="2108"/>
      <c r="P73" s="2125"/>
      <c r="R73" s="2202" t="s">
        <v>4729</v>
      </c>
      <c r="U73" s="2203">
        <v>500000</v>
      </c>
      <c r="V73" s="2204">
        <v>999999.99</v>
      </c>
      <c r="W73" s="2203">
        <v>1000000</v>
      </c>
      <c r="X73" s="2204">
        <v>1999999.99</v>
      </c>
      <c r="Y73" s="2203">
        <v>2000000</v>
      </c>
      <c r="Z73" s="2205"/>
      <c r="AM73" s="2495">
        <v>73</v>
      </c>
    </row>
    <row r="74" spans="1:39" ht="15.95" customHeight="1">
      <c r="C74" s="2127"/>
      <c r="D74" s="2127"/>
      <c r="E74" s="2127"/>
      <c r="I74" s="2206" t="s">
        <v>4134</v>
      </c>
      <c r="J74" s="3839">
        <f>IF(J73=0,0,J71/J73)</f>
        <v>0</v>
      </c>
      <c r="K74" s="3840"/>
      <c r="M74" s="3841">
        <f>IF(J73=0,0,M71/J73)</f>
        <v>0</v>
      </c>
      <c r="N74" s="3842"/>
      <c r="O74" s="3842"/>
      <c r="P74" s="3843"/>
      <c r="R74" s="2202" t="s">
        <v>4730</v>
      </c>
      <c r="U74" s="2207">
        <v>10000</v>
      </c>
      <c r="V74" s="2208">
        <v>19999.990000000002</v>
      </c>
      <c r="W74" s="2207">
        <v>20000</v>
      </c>
      <c r="X74" s="2208">
        <v>29999.99</v>
      </c>
      <c r="Y74" s="2207">
        <v>30000</v>
      </c>
      <c r="Z74" s="2209"/>
      <c r="AM74" s="2494">
        <v>74</v>
      </c>
    </row>
    <row r="75" spans="1:39" ht="15.95" customHeight="1">
      <c r="C75" s="2127"/>
      <c r="D75" s="2127"/>
      <c r="E75" s="2127"/>
      <c r="I75" s="2142" t="s">
        <v>4708</v>
      </c>
      <c r="J75" s="3837">
        <f>IF(AND(J62+J67&gt;0,J71&gt;=$Y$73),$Y$75, IF(AND(J62+J67=0,J71&gt;=$Y$73),$Y$76, IF(AND(J62+J67&gt;0,J71&gt;=$W$73),$W$75,IF(AND(J62+J67=0,J71&gt;=$W$73),$W$76, IF(AND(J62+J67&gt;0,J71&gt;=$U$73),$U$75,IF(AND(J62+J67=0,J71&gt;=$U$73),$U$76,0))))))</f>
        <v>0</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4862</v>
      </c>
      <c r="U75" s="3848">
        <v>2</v>
      </c>
      <c r="V75" s="3849"/>
      <c r="W75" s="3848">
        <v>3</v>
      </c>
      <c r="X75" s="3849"/>
      <c r="Y75" s="3848">
        <v>4</v>
      </c>
      <c r="Z75" s="3849"/>
      <c r="AM75" s="2494">
        <v>75</v>
      </c>
    </row>
    <row r="76" spans="1:39" ht="15.95" customHeight="1">
      <c r="C76" s="2127"/>
      <c r="D76" s="2127"/>
      <c r="E76" s="2127"/>
      <c r="I76" s="2142" t="s">
        <v>4135</v>
      </c>
      <c r="J76" s="3850">
        <f>IF(AND(J62+J67&gt;0,$J$74&gt;=$Y$74),$Y$75,IF(AND(J62+J67=0,$J$74&gt;=$Y$74),$Y$76,IF(AND(J62+J67&gt;0,$J$74&gt;=$W$74),$W$75,IF(AND(J62+J67=0,$J$74&gt;=$W$74),$W$76,IF(AND(J62+J67&gt;0,$J$74&gt;=$U$74),$U$75,IF(AND(J62+J67=0,$J$74&gt;=$U$74),$U$76,0))))))</f>
        <v>0</v>
      </c>
      <c r="K76" s="3851"/>
      <c r="L76" s="2125"/>
      <c r="M76" s="3850">
        <f>IF(AND(M62+M67&gt;0,$M$74&gt;=$Y$74),$Y$75,IF(AND(M62+M67=0,$M$74&gt;=$Y$74),$Y$76,IF(AND(M62+M67&gt;0,$M$74&gt;=$W$74),$W$75,IF(AND(M62+M67=0,$M$74&gt;=$W$74),$W$76,IF(AND(M62+M67&gt;0,$M$74&gt;=$U$74),$U$75,IF(AND(M62+M67=0,$M$74&gt;=$U$74),$U$76,0))))))</f>
        <v>0</v>
      </c>
      <c r="N76" s="3852"/>
      <c r="O76" s="3852">
        <f t="shared" ref="O76" si="0">IF(AND(O62+O67&gt;0,$J$73&gt;=$Y$74),$Y$75, IF(AND(O62+O67=0,$J$73&gt;=$Y$74),$Y$76, IF(AND(O62+O67&gt;0,$J$73&gt;=$W$74),$W$75,IF(AND(O62+O67=0,$J$73&gt;=$W$74),$W$76, IF(AND(O62+O67&gt;0,$J$73&gt;=$U$74),$U$75,IF(AND(O62+O67=0,$J$73&gt;=$U$74),$U$76,0))))))</f>
        <v>0</v>
      </c>
      <c r="P76" s="3851"/>
      <c r="R76" s="2202" t="s">
        <v>4863</v>
      </c>
      <c r="U76" s="3848">
        <v>1</v>
      </c>
      <c r="V76" s="3849"/>
      <c r="W76" s="3848">
        <v>2</v>
      </c>
      <c r="X76" s="3849"/>
      <c r="Y76" s="3848">
        <v>3</v>
      </c>
      <c r="Z76" s="3849"/>
      <c r="AM76" s="2495">
        <v>76</v>
      </c>
    </row>
    <row r="77" spans="1:39" ht="15.95" customHeight="1" thickBot="1">
      <c r="AM77" s="2494">
        <v>77</v>
      </c>
    </row>
    <row r="78" spans="1:39" ht="15.95"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5" customHeight="1">
      <c r="A83" s="2109"/>
      <c r="B83" s="2131" t="s">
        <v>4847</v>
      </c>
      <c r="C83" s="2109"/>
      <c r="D83" s="2109"/>
      <c r="E83" s="2109"/>
      <c r="F83" s="2109"/>
      <c r="G83" s="2109"/>
      <c r="H83" s="2109"/>
      <c r="I83" s="2109"/>
      <c r="J83" s="2109"/>
      <c r="K83" s="2109"/>
      <c r="M83" s="2111"/>
      <c r="O83" s="2122"/>
      <c r="AM83" s="2494">
        <v>83</v>
      </c>
    </row>
    <row r="84" spans="1:39" ht="15.95" customHeight="1">
      <c r="A84" s="3829"/>
      <c r="B84" s="3830"/>
      <c r="C84" s="3830"/>
      <c r="D84" s="3830"/>
      <c r="E84" s="3830"/>
      <c r="F84" s="3830"/>
      <c r="G84" s="3830"/>
      <c r="H84" s="3830"/>
      <c r="I84" s="3830"/>
      <c r="J84" s="3830"/>
      <c r="K84" s="3830"/>
      <c r="L84" s="3830"/>
      <c r="M84" s="3830"/>
      <c r="N84" s="3830"/>
      <c r="O84" s="3830"/>
      <c r="P84" s="3831"/>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4746</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4941</v>
      </c>
      <c r="D93" s="2133"/>
      <c r="E93" s="2133"/>
      <c r="L93" s="2146"/>
      <c r="M93" s="2226"/>
      <c r="N93" s="2111"/>
      <c r="O93" s="2025"/>
      <c r="P93" s="2227"/>
      <c r="Q93" s="2144"/>
      <c r="AM93" s="2494">
        <v>93</v>
      </c>
    </row>
    <row r="94" spans="1:39" s="2109" customFormat="1" ht="15.95" customHeight="1">
      <c r="A94" s="2112"/>
      <c r="B94" s="2154" t="s">
        <v>1841</v>
      </c>
      <c r="C94" s="2109" t="s">
        <v>4942</v>
      </c>
      <c r="D94" s="2133"/>
      <c r="E94" s="2133"/>
      <c r="L94" s="2146"/>
      <c r="M94" s="2226"/>
      <c r="N94" s="2111"/>
      <c r="O94" s="2104"/>
      <c r="P94" s="2228"/>
      <c r="Q94" s="2144"/>
      <c r="AM94" s="2495">
        <v>94</v>
      </c>
    </row>
    <row r="95" spans="1:39" s="2109" customFormat="1" ht="15.95" customHeight="1">
      <c r="A95" s="2112" t="s">
        <v>1838</v>
      </c>
      <c r="B95" s="2120" t="s">
        <v>4747</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6" t="s">
        <v>5024</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5.95" customHeight="1">
      <c r="A103" s="2112"/>
      <c r="B103" s="2151" t="s">
        <v>1839</v>
      </c>
      <c r="C103" s="2109" t="s">
        <v>4871</v>
      </c>
      <c r="D103" s="2127"/>
      <c r="E103" s="2127"/>
      <c r="F103" s="2127"/>
      <c r="G103" s="2109"/>
      <c r="H103" s="2127"/>
      <c r="I103" s="2127"/>
      <c r="J103" s="3857" t="s">
        <v>4681</v>
      </c>
      <c r="K103" s="3858"/>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4872</v>
      </c>
      <c r="D104" s="2127"/>
      <c r="E104" s="2127"/>
      <c r="F104" s="2127"/>
      <c r="G104" s="2109"/>
      <c r="H104" s="2127"/>
      <c r="J104" s="2499" t="s">
        <v>4682</v>
      </c>
      <c r="K104" s="2500" t="s">
        <v>5042</v>
      </c>
      <c r="L104" s="2497"/>
      <c r="M104" s="2214">
        <v>3</v>
      </c>
      <c r="N104" s="2233"/>
      <c r="O104" s="2013">
        <v>0</v>
      </c>
      <c r="P104" s="2238"/>
      <c r="Q104" s="2149" t="str">
        <f>IF(OR($O104=$M104,$O104=0,$O104=""),"","*CHECK!*")</f>
        <v/>
      </c>
      <c r="R104" s="2150"/>
      <c r="AM104" s="2495">
        <v>104</v>
      </c>
    </row>
    <row r="105" spans="1:39">
      <c r="B105" s="2108" t="s">
        <v>5023</v>
      </c>
      <c r="H105" s="2142"/>
      <c r="J105" s="2498">
        <f>'Part V-Revenues &amp; Expenses'!P67*'Part VIII Scoring Criteria'!K105</f>
        <v>7.2</v>
      </c>
      <c r="K105" s="2454">
        <v>0.1</v>
      </c>
      <c r="M105" s="2142" t="s">
        <v>5041</v>
      </c>
      <c r="O105" s="2001">
        <v>8</v>
      </c>
      <c r="P105" s="2241"/>
      <c r="T105" s="2140"/>
      <c r="U105" s="2140"/>
      <c r="AM105" s="2494">
        <v>105</v>
      </c>
    </row>
    <row r="106" spans="1:39" ht="41.45" customHeight="1">
      <c r="B106" s="3856" t="s">
        <v>5022</v>
      </c>
      <c r="C106" s="3856"/>
      <c r="D106" s="3856"/>
      <c r="E106" s="3856"/>
      <c r="F106" s="3856"/>
      <c r="G106" s="3856"/>
      <c r="H106" s="3856"/>
      <c r="I106" s="3856"/>
      <c r="J106" s="3856"/>
      <c r="K106" s="3856"/>
      <c r="L106" s="3856"/>
      <c r="O106" s="2016"/>
      <c r="P106" s="2162"/>
      <c r="T106" s="2140"/>
      <c r="U106" s="2140"/>
      <c r="AM106" s="2494">
        <v>106</v>
      </c>
    </row>
    <row r="107" spans="1:39" ht="15.95"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5"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c r="P110" s="2229"/>
      <c r="Q110" s="2144"/>
      <c r="R110" s="2150"/>
      <c r="AM110" s="2494">
        <v>110</v>
      </c>
    </row>
    <row r="111" spans="1:39" ht="15.95" customHeight="1">
      <c r="A111" s="2109"/>
      <c r="B111" s="2131" t="s">
        <v>4847</v>
      </c>
      <c r="C111" s="2109"/>
      <c r="D111" s="2109"/>
      <c r="E111" s="2109"/>
      <c r="F111" s="2109"/>
      <c r="G111" s="2109"/>
      <c r="H111" s="2109"/>
      <c r="I111" s="2109"/>
      <c r="J111" s="2109"/>
      <c r="K111" s="2109"/>
      <c r="M111" s="2111"/>
      <c r="O111" s="2122"/>
      <c r="AM111" s="2494">
        <v>111</v>
      </c>
    </row>
    <row r="112" spans="1:39" ht="15.95" customHeight="1">
      <c r="A112" s="3829"/>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4969</v>
      </c>
      <c r="F122" s="2112"/>
      <c r="I122" s="2112"/>
      <c r="J122" s="2097" t="s">
        <v>5153</v>
      </c>
      <c r="M122" s="2214"/>
      <c r="N122" s="2147"/>
      <c r="O122" s="2397" t="str">
        <f>IF($J122="Submitted", "Yes","")</f>
        <v>Yes</v>
      </c>
      <c r="P122" s="2153"/>
      <c r="Q122" s="2147"/>
      <c r="V122" s="2140"/>
      <c r="AM122" s="2494">
        <v>122</v>
      </c>
    </row>
    <row r="123" spans="1:39" s="2109" customFormat="1" ht="15.95" customHeight="1">
      <c r="A123" s="2112"/>
      <c r="B123" s="2152"/>
      <c r="C123" s="2120"/>
      <c r="D123" s="2141" t="s">
        <v>4970</v>
      </c>
      <c r="F123" s="2112"/>
      <c r="I123" s="2112"/>
      <c r="J123" s="2016" t="s">
        <v>5153</v>
      </c>
      <c r="K123" s="2147"/>
      <c r="M123" s="2214"/>
      <c r="N123" s="2147"/>
      <c r="O123" s="2398" t="str">
        <f>IF($J123="Submitted", "Yes","")</f>
        <v>Yes</v>
      </c>
      <c r="P123" s="2162"/>
      <c r="Q123" s="2147"/>
      <c r="V123" s="2140"/>
      <c r="AM123" s="2494">
        <v>123</v>
      </c>
    </row>
    <row r="124" spans="1:39" s="2109" customFormat="1" ht="15.95" customHeight="1">
      <c r="A124" s="2112"/>
      <c r="B124" s="2152"/>
      <c r="C124" s="2141" t="s">
        <v>4893</v>
      </c>
      <c r="D124" s="2120"/>
      <c r="F124" s="2112"/>
      <c r="I124" s="2112"/>
      <c r="J124" s="2018" t="s">
        <v>5153</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4894</v>
      </c>
      <c r="D125" s="2120"/>
      <c r="F125" s="2112"/>
      <c r="I125" s="2112"/>
      <c r="J125" s="2018" t="s">
        <v>5153</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4971</v>
      </c>
      <c r="D126" s="2120"/>
      <c r="F126" s="2112"/>
      <c r="I126" s="2112"/>
      <c r="J126" s="2018" t="s">
        <v>5153</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5012</v>
      </c>
      <c r="D127" s="2120"/>
      <c r="F127" s="2112"/>
      <c r="V127" s="2140"/>
      <c r="AM127" s="2494">
        <v>127</v>
      </c>
    </row>
    <row r="128" spans="1:39" s="2109" customFormat="1" ht="15.95" customHeight="1">
      <c r="A128" s="2112"/>
      <c r="B128" s="2154"/>
      <c r="C128" s="2141" t="s">
        <v>5013</v>
      </c>
      <c r="F128" s="2111"/>
      <c r="I128" s="2111"/>
      <c r="J128" s="2018" t="s">
        <v>5153</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5153</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4974</v>
      </c>
      <c r="F130" s="2112"/>
      <c r="I130" s="2112"/>
      <c r="J130" s="2018" t="s">
        <v>5153</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4895</v>
      </c>
      <c r="F131" s="2112"/>
      <c r="I131" s="2112"/>
      <c r="J131" s="2018" t="s">
        <v>5153</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4975</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853"/>
      <c r="C134" s="3854"/>
      <c r="D134" s="3854"/>
      <c r="E134" s="3854"/>
      <c r="F134" s="3854"/>
      <c r="G134" s="3854"/>
      <c r="H134" s="3854"/>
      <c r="I134" s="3854"/>
      <c r="J134" s="3854"/>
      <c r="K134" s="3854"/>
      <c r="L134" s="3854"/>
      <c r="M134" s="3854"/>
      <c r="N134" s="3854"/>
      <c r="O134" s="3854"/>
      <c r="P134" s="3855"/>
      <c r="Q134" s="2192"/>
      <c r="R134" s="2192"/>
      <c r="AM134" s="2495">
        <v>134</v>
      </c>
    </row>
    <row r="135" spans="1:39" ht="15.95" customHeight="1">
      <c r="A135" s="2109"/>
      <c r="B135" s="2131" t="s">
        <v>4847</v>
      </c>
      <c r="C135" s="2109"/>
      <c r="D135" s="2109"/>
      <c r="E135" s="2109"/>
      <c r="F135" s="2109"/>
      <c r="G135" s="2109"/>
      <c r="H135" s="2109"/>
      <c r="I135" s="2109"/>
      <c r="J135" s="2109"/>
      <c r="K135" s="2109"/>
      <c r="M135" s="2111"/>
      <c r="O135" s="2122"/>
      <c r="AM135" s="2495">
        <v>135</v>
      </c>
    </row>
    <row r="136" spans="1:39" ht="15.95" customHeight="1">
      <c r="A136" s="3829"/>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3689</v>
      </c>
      <c r="H144" s="2109" t="s">
        <v>3690</v>
      </c>
      <c r="I144" s="2251"/>
      <c r="K144" s="2252">
        <f>'Part V-Revenues &amp; Expenses'!$B$50</f>
        <v>57.61904761904762</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4976</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4847</v>
      </c>
      <c r="C154" s="2109"/>
      <c r="D154" s="2109"/>
      <c r="E154" s="2109"/>
      <c r="F154" s="2109"/>
      <c r="G154" s="2109"/>
      <c r="H154" s="2109"/>
      <c r="I154" s="2109"/>
      <c r="J154" s="2109"/>
      <c r="K154" s="2109"/>
      <c r="M154" s="2111"/>
      <c r="O154" s="2122"/>
      <c r="AM154" s="2495">
        <v>154</v>
      </c>
    </row>
    <row r="155" spans="1:39" ht="15.95" customHeight="1">
      <c r="A155" s="3829"/>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3280</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3196</v>
      </c>
      <c r="H162" s="2147"/>
      <c r="I162" s="2106"/>
      <c r="J162" s="2106"/>
      <c r="K162" s="2226"/>
      <c r="L162" s="2106"/>
      <c r="M162" s="2111" t="s">
        <v>1163</v>
      </c>
      <c r="N162" s="2147"/>
      <c r="O162" s="2040"/>
      <c r="P162" s="2261"/>
      <c r="R162" s="2150"/>
      <c r="AM162" s="2494">
        <v>162</v>
      </c>
    </row>
    <row r="163" spans="1:39" ht="15.95" customHeight="1">
      <c r="A163" s="2109"/>
      <c r="B163" s="2131" t="s">
        <v>4847</v>
      </c>
      <c r="C163" s="2109"/>
      <c r="D163" s="2109"/>
      <c r="E163" s="2109"/>
      <c r="F163" s="2109"/>
      <c r="G163" s="2109"/>
      <c r="H163" s="2109"/>
      <c r="I163" s="2109"/>
      <c r="J163" s="2109"/>
      <c r="K163" s="2109"/>
      <c r="M163" s="2111"/>
      <c r="O163" s="2122"/>
      <c r="AM163" s="2494">
        <v>163</v>
      </c>
    </row>
    <row r="164" spans="1:39" ht="15.95" customHeight="1">
      <c r="A164" s="3829"/>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4896</v>
      </c>
      <c r="M169" s="2112">
        <v>6</v>
      </c>
      <c r="N169" s="2147"/>
      <c r="O169" s="2212">
        <f>IF($F$12="New Affordability",MAX(O177,O180),0)</f>
        <v>0</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3239</v>
      </c>
      <c r="F171" s="3859" t="s">
        <v>3131</v>
      </c>
      <c r="G171" s="3859"/>
      <c r="H171" s="3859"/>
      <c r="I171" s="3859"/>
      <c r="J171" s="3859" t="s">
        <v>3132</v>
      </c>
      <c r="K171" s="3859"/>
      <c r="L171" s="3859"/>
      <c r="M171" s="3859"/>
      <c r="N171" s="2147"/>
      <c r="O171" s="3860" t="s">
        <v>4696</v>
      </c>
      <c r="P171" s="3860"/>
      <c r="AM171" s="2495">
        <v>171</v>
      </c>
    </row>
    <row r="172" spans="1:39" ht="15.95" customHeight="1">
      <c r="B172" s="2264"/>
      <c r="C172" s="2265" t="s">
        <v>4697</v>
      </c>
      <c r="F172" s="3862"/>
      <c r="G172" s="3863"/>
      <c r="H172" s="3864"/>
      <c r="I172" s="3865"/>
      <c r="J172" s="3862"/>
      <c r="K172" s="3863"/>
      <c r="L172" s="3864"/>
      <c r="M172" s="3865"/>
      <c r="N172" s="2108"/>
      <c r="O172" s="3861"/>
      <c r="P172" s="3861"/>
      <c r="AM172" s="2494">
        <v>172</v>
      </c>
    </row>
    <row r="173" spans="1:39" ht="15.95" customHeight="1">
      <c r="A173" s="2264"/>
      <c r="B173" s="2266"/>
      <c r="C173" s="2265" t="s">
        <v>4698</v>
      </c>
      <c r="F173" s="3867"/>
      <c r="G173" s="3868"/>
      <c r="H173" s="3869"/>
      <c r="I173" s="3870"/>
      <c r="J173" s="3867"/>
      <c r="K173" s="3868"/>
      <c r="L173" s="3869"/>
      <c r="M173" s="3870"/>
      <c r="N173" s="2147"/>
      <c r="O173" s="2007"/>
      <c r="P173" s="2267"/>
      <c r="AM173" s="2495">
        <v>173</v>
      </c>
    </row>
    <row r="174" spans="1:39" ht="15.95" customHeight="1">
      <c r="A174" s="2266"/>
      <c r="B174" s="3871" t="s">
        <v>4720</v>
      </c>
      <c r="C174" s="3871"/>
      <c r="D174" s="3871"/>
      <c r="E174" s="3871"/>
      <c r="F174" s="2129" t="s">
        <v>4699</v>
      </c>
      <c r="G174" s="3872" t="s">
        <v>1667</v>
      </c>
      <c r="H174" s="3872"/>
      <c r="I174" s="3872"/>
      <c r="J174" s="3872" t="s">
        <v>4717</v>
      </c>
      <c r="K174" s="3872"/>
      <c r="L174" s="3872"/>
      <c r="M174" s="3872"/>
      <c r="N174" s="3872"/>
      <c r="O174" s="3872"/>
      <c r="P174" s="3872"/>
      <c r="AM174" s="2494">
        <v>174</v>
      </c>
    </row>
    <row r="175" spans="1:39" ht="15.95" customHeight="1">
      <c r="A175" s="2266"/>
      <c r="B175" s="3882"/>
      <c r="C175" s="3882"/>
      <c r="D175" s="3882"/>
      <c r="E175" s="3882"/>
      <c r="F175" s="2041"/>
      <c r="G175" s="3883"/>
      <c r="H175" s="3883"/>
      <c r="I175" s="3883"/>
      <c r="J175" s="3883"/>
      <c r="K175" s="3883"/>
      <c r="L175" s="3883"/>
      <c r="M175" s="3883"/>
      <c r="N175" s="3883"/>
      <c r="O175" s="3883"/>
      <c r="P175" s="3883"/>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3154</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5" customHeight="1">
      <c r="A178" s="2165"/>
      <c r="B178" s="2154" t="s">
        <v>1839</v>
      </c>
      <c r="C178" s="3801" t="s">
        <v>4712</v>
      </c>
      <c r="D178" s="3801"/>
      <c r="E178" s="3801"/>
      <c r="F178" s="3801"/>
      <c r="G178" s="3801"/>
      <c r="H178" s="3801"/>
      <c r="I178" s="3801"/>
      <c r="J178" s="3801"/>
      <c r="K178" s="3801"/>
      <c r="L178" s="2146" t="str">
        <f t="shared" ref="L178" si="4">IF(OR($O178=$M178,$O178=0,$O178=""),"","* * Check Score! * *")</f>
        <v/>
      </c>
      <c r="M178" s="2165">
        <v>6</v>
      </c>
      <c r="N178" s="2217"/>
      <c r="O178" s="2008"/>
      <c r="P178" s="2271"/>
      <c r="R178" s="3866" t="s">
        <v>4565</v>
      </c>
      <c r="S178" s="2272">
        <v>0.25</v>
      </c>
      <c r="T178" s="2272">
        <v>5</v>
      </c>
      <c r="AM178" s="2494">
        <v>178</v>
      </c>
    </row>
    <row r="179" spans="1:39" s="2164" customFormat="1" ht="15.95"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66"/>
      <c r="S179" s="2272">
        <v>0.5</v>
      </c>
      <c r="T179" s="2272">
        <v>4.5</v>
      </c>
      <c r="AM179" s="2494">
        <v>179</v>
      </c>
    </row>
    <row r="180" spans="1:39" s="2164" customFormat="1" ht="15.95" customHeight="1">
      <c r="A180" s="2259" t="s">
        <v>1838</v>
      </c>
      <c r="B180" s="2274" t="s">
        <v>3155</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5.95"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66" t="s">
        <v>4566</v>
      </c>
      <c r="S181" s="2280">
        <v>0.25</v>
      </c>
      <c r="T181" s="2280">
        <v>3</v>
      </c>
      <c r="U181" s="2164"/>
      <c r="AM181" s="2495">
        <v>181</v>
      </c>
    </row>
    <row r="182" spans="1:39" ht="15.95"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66"/>
      <c r="S182" s="2272">
        <v>0.5</v>
      </c>
      <c r="T182" s="2272">
        <v>2</v>
      </c>
      <c r="U182" s="2164"/>
      <c r="AM182" s="2495">
        <v>182</v>
      </c>
    </row>
    <row r="183" spans="1:39" s="2164" customFormat="1" ht="29.25" customHeight="1">
      <c r="A183" s="2282" t="s">
        <v>1273</v>
      </c>
      <c r="B183" s="2278" t="s">
        <v>2326</v>
      </c>
      <c r="C183" s="3801" t="s">
        <v>4718</v>
      </c>
      <c r="D183" s="3801"/>
      <c r="E183" s="3801"/>
      <c r="F183" s="3801"/>
      <c r="G183" s="3801"/>
      <c r="H183" s="3801"/>
      <c r="I183" s="3801"/>
      <c r="J183" s="3801"/>
      <c r="K183" s="3801"/>
      <c r="L183" s="2146" t="str">
        <f t="shared" si="5"/>
        <v/>
      </c>
      <c r="M183" s="2165">
        <v>2</v>
      </c>
      <c r="N183" s="2217"/>
      <c r="O183" s="2042"/>
      <c r="P183" s="2283"/>
      <c r="R183" s="3866"/>
      <c r="S183" s="2277">
        <v>1</v>
      </c>
      <c r="T183" s="2277">
        <v>1</v>
      </c>
      <c r="AM183" s="2494">
        <v>183</v>
      </c>
    </row>
    <row r="184" spans="1:39" ht="15.95" customHeight="1">
      <c r="A184" s="2109"/>
      <c r="B184" s="2131" t="s">
        <v>4847</v>
      </c>
      <c r="C184" s="2109"/>
      <c r="D184" s="2109"/>
      <c r="E184" s="2109"/>
      <c r="F184" s="2109"/>
      <c r="G184" s="2109"/>
      <c r="H184" s="2109"/>
      <c r="I184" s="2109"/>
      <c r="J184" s="2109"/>
      <c r="K184" s="2109"/>
      <c r="M184" s="2111"/>
      <c r="O184" s="2122"/>
      <c r="AM184" s="2494">
        <v>184</v>
      </c>
    </row>
    <row r="185" spans="1:39" ht="15.95" customHeight="1">
      <c r="A185" s="3829"/>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5.95" customHeight="1" thickBot="1">
      <c r="A190" s="2132" t="s">
        <v>1602</v>
      </c>
      <c r="B190" s="2133" t="s">
        <v>4050</v>
      </c>
      <c r="C190" s="2161"/>
      <c r="D190" s="2161"/>
      <c r="E190" s="2161"/>
      <c r="G190" s="2112"/>
      <c r="H190" s="2150"/>
      <c r="L190" s="2142" t="s">
        <v>4896</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09" t="s">
        <v>4734</v>
      </c>
      <c r="G191" s="3809"/>
      <c r="H191" s="3809" t="s">
        <v>4735</v>
      </c>
      <c r="I191" s="3809"/>
      <c r="J191" s="3873" t="s">
        <v>4745</v>
      </c>
      <c r="K191" s="3874"/>
      <c r="L191" s="3879" t="s">
        <v>4721</v>
      </c>
      <c r="M191" s="3879"/>
      <c r="N191" s="3879"/>
      <c r="O191" s="3880"/>
      <c r="P191" s="2288"/>
      <c r="AM191" s="2495">
        <v>191</v>
      </c>
    </row>
    <row r="192" spans="1:39" ht="24.6" customHeight="1">
      <c r="B192" s="2286"/>
      <c r="C192" s="2286"/>
      <c r="D192" s="2286"/>
      <c r="E192" s="2287"/>
      <c r="F192" s="3809"/>
      <c r="G192" s="3809"/>
      <c r="H192" s="3809"/>
      <c r="I192" s="3809"/>
      <c r="J192" s="3875"/>
      <c r="K192" s="3876"/>
      <c r="L192" s="3809"/>
      <c r="M192" s="3809"/>
      <c r="N192" s="3809"/>
      <c r="O192" s="3880"/>
      <c r="P192" s="2288"/>
      <c r="AM192" s="2494">
        <v>192</v>
      </c>
    </row>
    <row r="193" spans="1:39" ht="15.95" customHeight="1">
      <c r="B193" s="2289" t="s">
        <v>4525</v>
      </c>
      <c r="C193" s="2290"/>
      <c r="D193" s="2287"/>
      <c r="E193" s="2287"/>
      <c r="F193" s="3810"/>
      <c r="G193" s="3810"/>
      <c r="H193" s="3810"/>
      <c r="I193" s="3810"/>
      <c r="J193" s="3877"/>
      <c r="K193" s="3878"/>
      <c r="L193" s="3810"/>
      <c r="M193" s="3810"/>
      <c r="N193" s="3810"/>
      <c r="O193" s="3881"/>
      <c r="P193" s="2288"/>
      <c r="AM193" s="2495">
        <v>193</v>
      </c>
    </row>
    <row r="194" spans="1:39" ht="15.95" customHeight="1">
      <c r="B194" s="3884" t="s">
        <v>5157</v>
      </c>
      <c r="C194" s="3885"/>
      <c r="D194" s="3885"/>
      <c r="E194" s="3886"/>
      <c r="F194" s="3887"/>
      <c r="G194" s="3888"/>
      <c r="H194" s="3887"/>
      <c r="I194" s="3888"/>
      <c r="J194" s="3889" t="s">
        <v>2641</v>
      </c>
      <c r="K194" s="3890"/>
      <c r="L194" s="3889" t="s">
        <v>2641</v>
      </c>
      <c r="M194" s="3891"/>
      <c r="N194" s="3891"/>
      <c r="O194" s="3890"/>
      <c r="P194" s="2153"/>
      <c r="AM194" s="2494">
        <v>194</v>
      </c>
    </row>
    <row r="195" spans="1:39" ht="15.95" customHeight="1">
      <c r="B195" s="3892" t="s">
        <v>5158</v>
      </c>
      <c r="C195" s="3893"/>
      <c r="D195" s="3893"/>
      <c r="E195" s="3894"/>
      <c r="F195" s="3895"/>
      <c r="G195" s="3896"/>
      <c r="H195" s="3895"/>
      <c r="I195" s="3896"/>
      <c r="J195" s="3897" t="s">
        <v>2641</v>
      </c>
      <c r="K195" s="3898"/>
      <c r="L195" s="3897" t="s">
        <v>2641</v>
      </c>
      <c r="M195" s="3899"/>
      <c r="N195" s="3899"/>
      <c r="O195" s="3898"/>
      <c r="P195" s="2155"/>
      <c r="AM195" s="2494">
        <v>195</v>
      </c>
    </row>
    <row r="196" spans="1:39" ht="15.95" customHeight="1">
      <c r="B196" s="3892" t="s">
        <v>5159</v>
      </c>
      <c r="C196" s="3893"/>
      <c r="D196" s="3893"/>
      <c r="E196" s="3894"/>
      <c r="F196" s="3895"/>
      <c r="G196" s="3896"/>
      <c r="H196" s="3895"/>
      <c r="I196" s="3896"/>
      <c r="J196" s="3897" t="s">
        <v>2641</v>
      </c>
      <c r="K196" s="3898"/>
      <c r="L196" s="3897" t="s">
        <v>2641</v>
      </c>
      <c r="M196" s="3899"/>
      <c r="N196" s="3899"/>
      <c r="O196" s="3898"/>
      <c r="P196" s="2155"/>
      <c r="AM196" s="2494">
        <v>196</v>
      </c>
    </row>
    <row r="197" spans="1:39" ht="15.95" customHeight="1">
      <c r="B197" s="3892" t="s">
        <v>5160</v>
      </c>
      <c r="C197" s="3893"/>
      <c r="D197" s="3893"/>
      <c r="E197" s="3894"/>
      <c r="F197" s="3895"/>
      <c r="G197" s="3896"/>
      <c r="H197" s="3895"/>
      <c r="I197" s="3896"/>
      <c r="J197" s="3897" t="s">
        <v>2641</v>
      </c>
      <c r="K197" s="3898"/>
      <c r="L197" s="3897" t="s">
        <v>2641</v>
      </c>
      <c r="M197" s="3899"/>
      <c r="N197" s="3899"/>
      <c r="O197" s="3898"/>
      <c r="P197" s="2155"/>
      <c r="AM197" s="2494">
        <v>197</v>
      </c>
    </row>
    <row r="198" spans="1:39" ht="15.95" customHeight="1">
      <c r="B198" s="3892"/>
      <c r="C198" s="3893"/>
      <c r="D198" s="3893"/>
      <c r="E198" s="3894"/>
      <c r="F198" s="3895"/>
      <c r="G198" s="3896"/>
      <c r="H198" s="3895"/>
      <c r="I198" s="3896"/>
      <c r="J198" s="3897"/>
      <c r="K198" s="3898"/>
      <c r="L198" s="3897"/>
      <c r="M198" s="3899"/>
      <c r="N198" s="3899"/>
      <c r="O198" s="3898"/>
      <c r="P198" s="2155"/>
      <c r="AM198" s="2495">
        <v>198</v>
      </c>
    </row>
    <row r="199" spans="1:39" ht="15.95" customHeight="1">
      <c r="B199" s="3909"/>
      <c r="C199" s="3910"/>
      <c r="D199" s="3910"/>
      <c r="E199" s="3911"/>
      <c r="F199" s="3912"/>
      <c r="G199" s="3913"/>
      <c r="H199" s="3912"/>
      <c r="I199" s="3913"/>
      <c r="J199" s="3914"/>
      <c r="K199" s="3915"/>
      <c r="L199" s="3914"/>
      <c r="M199" s="3916"/>
      <c r="N199" s="3916"/>
      <c r="O199" s="3915"/>
      <c r="P199" s="2156"/>
      <c r="AM199" s="2495">
        <v>199</v>
      </c>
    </row>
    <row r="200" spans="1:39" ht="15.95" customHeight="1">
      <c r="A200" s="2109"/>
      <c r="B200" s="2131" t="s">
        <v>4847</v>
      </c>
      <c r="C200" s="2109"/>
      <c r="D200" s="2109"/>
      <c r="E200" s="2109"/>
      <c r="F200" s="2109"/>
      <c r="G200" s="2109"/>
      <c r="H200" s="2109"/>
      <c r="I200" s="2109"/>
      <c r="J200" s="2109"/>
      <c r="K200" s="2109"/>
      <c r="M200" s="2111"/>
      <c r="O200" s="2122"/>
      <c r="AM200" s="2495">
        <v>200</v>
      </c>
    </row>
    <row r="201" spans="1:39" ht="15.95" customHeight="1">
      <c r="A201" s="3829"/>
      <c r="B201" s="3830"/>
      <c r="C201" s="3830"/>
      <c r="D201" s="3830"/>
      <c r="E201" s="3830"/>
      <c r="F201" s="3830"/>
      <c r="G201" s="3830"/>
      <c r="H201" s="3830"/>
      <c r="I201" s="3830"/>
      <c r="J201" s="3830"/>
      <c r="K201" s="3830"/>
      <c r="L201" s="3830"/>
      <c r="M201" s="3830"/>
      <c r="N201" s="3830"/>
      <c r="O201" s="3830"/>
      <c r="P201" s="3831"/>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3252</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4998</v>
      </c>
      <c r="S206" s="2106"/>
      <c r="T206" s="2106"/>
      <c r="U206" s="2106"/>
      <c r="V206" s="2445" t="str">
        <f>$C$16</f>
        <v>Stable Communities</v>
      </c>
      <c r="AM206" s="2494">
        <v>206</v>
      </c>
    </row>
    <row r="207" spans="1:39" s="2109" customFormat="1" ht="15.95" customHeight="1">
      <c r="A207" s="2132"/>
      <c r="B207" s="2133"/>
      <c r="D207" s="2133"/>
      <c r="E207" s="2133"/>
      <c r="F207" s="2141" t="s">
        <v>5039</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4897</v>
      </c>
      <c r="D209" s="2164"/>
      <c r="E209" s="2164"/>
      <c r="F209" s="2164"/>
      <c r="G209" s="2164"/>
      <c r="H209" s="2164"/>
      <c r="I209" s="2164"/>
      <c r="J209" s="2164"/>
      <c r="K209" s="2164"/>
      <c r="L209" s="2166"/>
      <c r="N209" s="3900" t="s">
        <v>4702</v>
      </c>
      <c r="O209" s="3901"/>
      <c r="P209" s="3902"/>
      <c r="S209" s="2106"/>
      <c r="T209" s="2106"/>
      <c r="U209" s="2106"/>
      <c r="AM209" s="2495">
        <v>209</v>
      </c>
    </row>
    <row r="210" spans="1:39" s="2109" customFormat="1" ht="15.95" customHeight="1">
      <c r="A210" s="2111"/>
      <c r="B210" s="2147"/>
      <c r="C210" s="2109" t="s">
        <v>4703</v>
      </c>
      <c r="L210" s="2147"/>
      <c r="N210" s="3903" t="s">
        <v>4702</v>
      </c>
      <c r="O210" s="3904"/>
      <c r="P210" s="3905"/>
      <c r="S210" s="2106"/>
      <c r="T210" s="2106"/>
      <c r="U210" s="2106"/>
      <c r="AM210" s="2495">
        <v>210</v>
      </c>
    </row>
    <row r="211" spans="1:39" s="2109" customFormat="1" ht="15.95" customHeight="1">
      <c r="A211" s="2111"/>
      <c r="B211" s="2147"/>
      <c r="C211" s="2109" t="s">
        <v>4898</v>
      </c>
      <c r="L211" s="2147"/>
      <c r="N211" s="3906" t="s">
        <v>4702</v>
      </c>
      <c r="O211" s="3907"/>
      <c r="P211" s="3908"/>
      <c r="Q211" s="2012"/>
      <c r="S211" s="2106"/>
      <c r="T211" s="2106"/>
      <c r="U211" s="2106"/>
      <c r="V211" s="2012"/>
      <c r="AM211" s="2495">
        <v>211</v>
      </c>
    </row>
    <row r="212" spans="1:39" s="2109" customFormat="1" ht="15.95"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5014</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3308</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5"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5" customHeight="1">
      <c r="B225" s="2152" t="s">
        <v>1958</v>
      </c>
      <c r="C225" s="2108" t="s">
        <v>4980</v>
      </c>
      <c r="L225" s="2146" t="str">
        <f>IF(OR($O225=$M225,$O225=0,$O225=""),"","* * Check Score! * *")</f>
        <v/>
      </c>
      <c r="M225" s="2129">
        <v>1</v>
      </c>
      <c r="O225" s="2013"/>
      <c r="P225" s="2238"/>
      <c r="AM225" s="2494">
        <v>225</v>
      </c>
    </row>
    <row r="226" spans="1:39" ht="15.95" customHeight="1">
      <c r="B226" s="2152" t="s">
        <v>1959</v>
      </c>
      <c r="C226" s="2108" t="s">
        <v>4907</v>
      </c>
      <c r="L226" s="2146" t="str">
        <f t="shared" ref="L226" si="8">IF(OR($O226=$M226,$O226=0,$O226=""),"","* * Check Score! * *")</f>
        <v/>
      </c>
      <c r="M226" s="2129">
        <v>1</v>
      </c>
      <c r="O226" s="2001"/>
      <c r="P226" s="2241"/>
      <c r="AM226" s="2495">
        <v>226</v>
      </c>
    </row>
    <row r="227" spans="1:39" ht="15.95" customHeight="1">
      <c r="B227" s="2152" t="s">
        <v>1608</v>
      </c>
      <c r="C227" s="2108" t="s">
        <v>4981</v>
      </c>
      <c r="L227" s="2146"/>
      <c r="M227" s="2129">
        <v>1</v>
      </c>
      <c r="O227" s="2002"/>
      <c r="P227" s="2239"/>
      <c r="AM227" s="2494">
        <v>227</v>
      </c>
    </row>
    <row r="228" spans="1:39" ht="15.95"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5"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5"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4847</v>
      </c>
      <c r="L232" s="2108"/>
      <c r="M232" s="2111"/>
      <c r="N232" s="2129"/>
      <c r="O232" s="2122"/>
      <c r="P232" s="2121"/>
      <c r="AM232" s="2494">
        <v>232</v>
      </c>
    </row>
    <row r="233" spans="1:39" ht="15.95" customHeight="1">
      <c r="A233" s="3829"/>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9</v>
      </c>
      <c r="P238" s="2143">
        <f>IF($H$16="Stable Communities",K251,0)</f>
        <v>0</v>
      </c>
      <c r="Q238" s="2144" t="s">
        <v>415</v>
      </c>
      <c r="R238" s="2444" t="s">
        <v>4998</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5039</v>
      </c>
      <c r="L239" s="2177"/>
      <c r="M239" s="2112"/>
      <c r="N239" s="2111"/>
      <c r="O239" s="2122">
        <f>MAX(J251,O238)</f>
        <v>9</v>
      </c>
      <c r="P239" s="2122">
        <f>MAX(K251,P238)</f>
        <v>0</v>
      </c>
      <c r="Q239" s="2144"/>
      <c r="R239" s="2150"/>
      <c r="S239" s="2106"/>
      <c r="T239" s="2106"/>
      <c r="U239" s="2106"/>
      <c r="V239" s="2108"/>
      <c r="W239" s="2108"/>
      <c r="X239" s="2108"/>
      <c r="AM239" s="2494">
        <v>239</v>
      </c>
    </row>
    <row r="240" spans="1:39" s="2109" customFormat="1" ht="15.95"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4915</v>
      </c>
      <c r="D241" s="2409"/>
      <c r="E241" s="2409"/>
      <c r="G241" s="3922" t="s">
        <v>4913</v>
      </c>
      <c r="H241" s="3923"/>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4723</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4982</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4983</v>
      </c>
      <c r="D250" s="2289"/>
      <c r="E250" s="2133"/>
      <c r="J250" s="2430" t="str">
        <f>IF(OR(I254="Near Census Tract",I255="Near Census Tract",I256="Near Census Tract",I257="Near Census Tract",I258="Near Census Tract"),"Yes","No")</f>
        <v>Yes</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4984</v>
      </c>
      <c r="D251" s="2289"/>
      <c r="E251" s="2133"/>
      <c r="J251" s="2450">
        <f>IF(AND(J249=2,J250="No"),6,IF(AND(J249=3,J250="No"),8,IF(AND(J249&gt;=4,J250="No"),10,IF(AND(J249=2,J250="Yes"),5,IF(AND(J249=3,J250="Yes"),7,IF(AND(J249&gt;=4,J250="Yes"),9,0))))))</f>
        <v>9</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927" t="s">
        <v>4986</v>
      </c>
      <c r="F253" s="3927"/>
      <c r="G253" s="3927"/>
      <c r="H253" s="2404" t="s">
        <v>4724</v>
      </c>
      <c r="I253" s="3928" t="s">
        <v>4987</v>
      </c>
      <c r="J253" s="3928"/>
      <c r="K253" s="3928"/>
      <c r="L253" s="3928"/>
      <c r="M253" s="3928"/>
      <c r="N253" s="3928"/>
      <c r="O253" s="3928"/>
      <c r="P253" s="3928"/>
      <c r="R253" s="2150"/>
      <c r="S253" s="2106"/>
      <c r="T253" s="2106"/>
      <c r="U253" s="2106"/>
      <c r="V253" s="2108"/>
      <c r="W253" s="2108"/>
      <c r="X253" s="2108"/>
      <c r="AM253" s="2495">
        <v>253</v>
      </c>
    </row>
    <row r="254" spans="1:39" s="2109" customFormat="1" ht="15.95" customHeight="1">
      <c r="A254" s="2132"/>
      <c r="B254" s="2109" t="s">
        <v>4988</v>
      </c>
      <c r="C254" s="2108"/>
      <c r="D254" s="2403"/>
      <c r="E254" s="3929" t="s">
        <v>5155</v>
      </c>
      <c r="F254" s="3930"/>
      <c r="G254" s="2447"/>
      <c r="H254" s="2405"/>
      <c r="I254" s="3929" t="s">
        <v>5156</v>
      </c>
      <c r="J254" s="3930"/>
      <c r="K254" s="3931"/>
      <c r="L254" s="3932"/>
      <c r="M254" s="3929">
        <v>13153021122</v>
      </c>
      <c r="N254" s="3933" t="s">
        <v>5154</v>
      </c>
      <c r="O254" s="3933">
        <v>32.579794</v>
      </c>
      <c r="P254" s="3930" t="s">
        <v>5154</v>
      </c>
      <c r="R254" s="2150"/>
      <c r="S254" s="2106"/>
      <c r="T254" s="2106"/>
      <c r="U254" s="2106"/>
      <c r="V254" s="2108"/>
      <c r="W254" s="2108"/>
      <c r="X254" s="2108"/>
      <c r="AM254" s="2495">
        <v>254</v>
      </c>
    </row>
    <row r="255" spans="1:39" s="2109" customFormat="1" ht="15.95" customHeight="1">
      <c r="A255" s="2132"/>
      <c r="B255" s="2109" t="s">
        <v>4989</v>
      </c>
      <c r="C255" s="2108"/>
      <c r="D255" s="2403"/>
      <c r="E255" s="3917"/>
      <c r="F255" s="3918"/>
      <c r="G255" s="2448"/>
      <c r="H255" s="2406"/>
      <c r="I255" s="3917"/>
      <c r="J255" s="3918"/>
      <c r="K255" s="3919"/>
      <c r="L255" s="3920"/>
      <c r="M255" s="3917"/>
      <c r="N255" s="3921"/>
      <c r="O255" s="3921"/>
      <c r="P255" s="3918"/>
      <c r="R255" s="2150"/>
      <c r="S255" s="2106"/>
      <c r="T255" s="2106"/>
      <c r="U255" s="2106"/>
      <c r="V255" s="2108"/>
      <c r="W255" s="2108"/>
      <c r="X255" s="2108"/>
      <c r="AM255" s="2494">
        <v>255</v>
      </c>
    </row>
    <row r="256" spans="1:39" s="2109" customFormat="1" ht="15.95" customHeight="1">
      <c r="A256" s="2132"/>
      <c r="B256" s="2109" t="s">
        <v>4990</v>
      </c>
      <c r="C256" s="2108"/>
      <c r="D256" s="2403"/>
      <c r="E256" s="3917" t="s">
        <v>5155</v>
      </c>
      <c r="F256" s="3918"/>
      <c r="G256" s="2448"/>
      <c r="H256" s="2406"/>
      <c r="I256" s="3917" t="s">
        <v>5156</v>
      </c>
      <c r="J256" s="3918"/>
      <c r="K256" s="3919"/>
      <c r="L256" s="3920"/>
      <c r="M256" s="3917">
        <v>13153021122</v>
      </c>
      <c r="N256" s="3921"/>
      <c r="O256" s="3921"/>
      <c r="P256" s="3918"/>
      <c r="R256" s="2150"/>
      <c r="S256" s="2106"/>
      <c r="T256" s="2106"/>
      <c r="U256" s="2106"/>
      <c r="V256" s="2108"/>
      <c r="W256" s="2108"/>
      <c r="X256" s="2108"/>
      <c r="AM256" s="2495">
        <v>256</v>
      </c>
    </row>
    <row r="257" spans="1:39" s="2109" customFormat="1" ht="15.95" customHeight="1">
      <c r="A257" s="2132"/>
      <c r="B257" s="2109" t="s">
        <v>4991</v>
      </c>
      <c r="C257" s="2133"/>
      <c r="D257" s="2133"/>
      <c r="E257" s="3917" t="s">
        <v>5155</v>
      </c>
      <c r="F257" s="3918"/>
      <c r="G257" s="2448"/>
      <c r="H257" s="2451">
        <v>2022</v>
      </c>
      <c r="I257" s="3917" t="s">
        <v>5156</v>
      </c>
      <c r="J257" s="3918"/>
      <c r="K257" s="3919"/>
      <c r="L257" s="3920"/>
      <c r="M257" s="3917">
        <v>13153021122</v>
      </c>
      <c r="N257" s="3921"/>
      <c r="O257" s="3921"/>
      <c r="P257" s="3918"/>
      <c r="R257" s="2150"/>
      <c r="S257" s="2106"/>
      <c r="T257" s="2106"/>
      <c r="U257" s="2106"/>
      <c r="V257" s="2108"/>
      <c r="W257" s="2108"/>
      <c r="X257" s="2108"/>
      <c r="AM257" s="2494">
        <v>257</v>
      </c>
    </row>
    <row r="258" spans="1:39" s="2109" customFormat="1" ht="15.95" customHeight="1">
      <c r="A258" s="2132"/>
      <c r="B258" s="2109" t="s">
        <v>4113</v>
      </c>
      <c r="C258" s="2133"/>
      <c r="D258" s="2133"/>
      <c r="E258" s="3936" t="s">
        <v>5155</v>
      </c>
      <c r="F258" s="3937"/>
      <c r="G258" s="2449"/>
      <c r="H258" s="2452">
        <v>2022</v>
      </c>
      <c r="I258" s="3936" t="s">
        <v>5156</v>
      </c>
      <c r="J258" s="3937"/>
      <c r="K258" s="3938"/>
      <c r="L258" s="3939"/>
      <c r="M258" s="3936">
        <v>13153021122</v>
      </c>
      <c r="N258" s="3940"/>
      <c r="O258" s="3940"/>
      <c r="P258" s="3937"/>
      <c r="R258" s="2150"/>
      <c r="S258" s="2106"/>
      <c r="T258" s="2106"/>
      <c r="U258" s="2106"/>
      <c r="V258" s="2108"/>
      <c r="W258" s="2108"/>
      <c r="X258" s="2108"/>
      <c r="AM258" s="2494">
        <v>258</v>
      </c>
    </row>
    <row r="259" spans="1:39" ht="15.95" customHeight="1">
      <c r="A259" s="2109"/>
      <c r="B259" s="2131" t="s">
        <v>4847</v>
      </c>
      <c r="C259" s="2109"/>
      <c r="D259" s="2109"/>
      <c r="E259" s="2109"/>
      <c r="F259" s="2109"/>
      <c r="G259" s="2109"/>
      <c r="H259" s="2109"/>
      <c r="I259" s="2109"/>
      <c r="J259" s="2109"/>
      <c r="K259" s="2109"/>
      <c r="M259" s="2111"/>
      <c r="O259" s="2122"/>
      <c r="AM259" s="2494">
        <v>259</v>
      </c>
    </row>
    <row r="260" spans="1:39" ht="15.95" customHeight="1">
      <c r="A260" s="3829"/>
      <c r="B260" s="3830"/>
      <c r="C260" s="3830"/>
      <c r="D260" s="3830"/>
      <c r="E260" s="3830"/>
      <c r="F260" s="3830"/>
      <c r="G260" s="3830"/>
      <c r="H260" s="3830"/>
      <c r="I260" s="3830"/>
      <c r="J260" s="3830"/>
      <c r="K260" s="3830"/>
      <c r="L260" s="3830"/>
      <c r="M260" s="3830"/>
      <c r="N260" s="3830"/>
      <c r="O260" s="3830"/>
      <c r="P260" s="3831"/>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5.95" customHeight="1" thickBot="1">
      <c r="A265" s="2132" t="s">
        <v>3282</v>
      </c>
      <c r="B265" s="2133" t="s">
        <v>3254</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Stable Communities</v>
      </c>
      <c r="AM265" s="2494">
        <v>265</v>
      </c>
    </row>
    <row r="266" spans="1:39" ht="15.95" customHeight="1">
      <c r="A266" s="2112" t="s">
        <v>1836</v>
      </c>
      <c r="B266" s="2184" t="s">
        <v>3179</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3180</v>
      </c>
      <c r="D267" s="2163"/>
      <c r="L267" s="2163"/>
      <c r="M267" s="3934"/>
      <c r="N267" s="2147"/>
      <c r="O267" s="2003"/>
      <c r="P267" s="2156"/>
      <c r="Q267" s="2017"/>
      <c r="R267" s="2106"/>
      <c r="S267" s="2106"/>
      <c r="T267" s="2106"/>
      <c r="U267" s="2106"/>
      <c r="V267" s="2106"/>
      <c r="AM267" s="2494">
        <v>267</v>
      </c>
    </row>
    <row r="268" spans="1:39" ht="15.95"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29"/>
      <c r="B269" s="3830"/>
      <c r="C269" s="3830"/>
      <c r="D269" s="3830"/>
      <c r="E269" s="3830"/>
      <c r="F269" s="3830"/>
      <c r="G269" s="3830"/>
      <c r="H269" s="3830"/>
      <c r="I269" s="3830"/>
      <c r="J269" s="3830"/>
      <c r="K269" s="3830"/>
      <c r="L269" s="3830"/>
      <c r="M269" s="3830"/>
      <c r="N269" s="3830"/>
      <c r="O269" s="3830"/>
      <c r="P269" s="3831"/>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5.95" customHeight="1" thickBot="1">
      <c r="A274" s="2132" t="s">
        <v>3283</v>
      </c>
      <c r="B274" s="2133" t="s">
        <v>3908</v>
      </c>
      <c r="E274" s="2150" t="str">
        <f>IF(AND(O274&gt;0,NOT($F$12="New Affordability"),NOT($O$12="9%")), "Ineligible, not New Affordability and 9%!","")</f>
        <v/>
      </c>
      <c r="G274" s="2287" t="str">
        <f>$O$12</f>
        <v>9%</v>
      </c>
      <c r="H274" s="2210" t="str">
        <f>$J$12</f>
        <v>Other Metro</v>
      </c>
      <c r="L274" s="2142" t="s">
        <v>4896</v>
      </c>
      <c r="M274" s="2112">
        <v>4</v>
      </c>
      <c r="N274" s="2111"/>
      <c r="O274" s="2143">
        <f>IF(AND($F$12="New Affordability",O275="Yes",$G$274="9%",OR($H$274="Atlanta Metro",$H$274= "Other Metro")),4,IF(AND($F$12="New Affordability",O275="Yes"),3,0))</f>
        <v>4</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4154</v>
      </c>
      <c r="C275" s="2164"/>
      <c r="D275" s="2164"/>
      <c r="E275" s="2164"/>
      <c r="F275" s="2164"/>
      <c r="N275" s="2166"/>
      <c r="O275" s="2018" t="s">
        <v>2641</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4704</v>
      </c>
      <c r="H276" s="3750" t="s">
        <v>573</v>
      </c>
      <c r="I276" s="3750"/>
      <c r="J276" s="3750"/>
      <c r="K276" s="3935" t="s">
        <v>4742</v>
      </c>
      <c r="L276" s="3935"/>
      <c r="M276" s="3935"/>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4155</v>
      </c>
      <c r="G277" s="2019" t="s">
        <v>5162</v>
      </c>
      <c r="H277" s="3943" t="s">
        <v>5161</v>
      </c>
      <c r="I277" s="3944"/>
      <c r="J277" s="3945"/>
      <c r="K277" s="3946">
        <v>45358</v>
      </c>
      <c r="L277" s="3946"/>
      <c r="M277" s="3946"/>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4156</v>
      </c>
      <c r="G278" s="2020"/>
      <c r="H278" s="3947"/>
      <c r="I278" s="3948"/>
      <c r="J278" s="3949"/>
      <c r="K278" s="3950"/>
      <c r="L278" s="3950"/>
      <c r="M278" s="3950"/>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4847</v>
      </c>
      <c r="C280" s="2109"/>
      <c r="D280" s="2109"/>
      <c r="E280" s="2109"/>
      <c r="F280" s="2109"/>
      <c r="G280" s="2109"/>
      <c r="H280" s="2109"/>
      <c r="I280" s="2109"/>
      <c r="J280" s="2109"/>
      <c r="K280" s="2109"/>
      <c r="M280" s="2111"/>
      <c r="O280" s="2122"/>
      <c r="AM280" s="2494">
        <v>280</v>
      </c>
    </row>
    <row r="281" spans="1:39" ht="15.95" customHeight="1">
      <c r="A281" s="3829" t="s">
        <v>5175</v>
      </c>
      <c r="B281" s="3830"/>
      <c r="C281" s="3830"/>
      <c r="D281" s="3830"/>
      <c r="E281" s="3830"/>
      <c r="F281" s="3830"/>
      <c r="G281" s="3830"/>
      <c r="H281" s="3830"/>
      <c r="I281" s="3830"/>
      <c r="J281" s="3830"/>
      <c r="K281" s="3830"/>
      <c r="L281" s="3830"/>
      <c r="M281" s="3830"/>
      <c r="N281" s="3830"/>
      <c r="O281" s="3830"/>
      <c r="P281" s="3831"/>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5.95" customHeight="1" thickBot="1">
      <c r="A286" s="2132" t="s">
        <v>3281</v>
      </c>
      <c r="B286" s="2133" t="s">
        <v>3836</v>
      </c>
      <c r="G286" s="2145"/>
      <c r="I286" s="2177" t="str">
        <f>IF($O$274&gt;0,"Points already claimed in another restricted section!","")</f>
        <v>Points already claimed in another restricted section!</v>
      </c>
      <c r="K286" s="2315" t="str">
        <f>IF(AND(SUM(O288,O291,O294)&gt;0,NOT($F$12="New Affordability"),NOT($O$12="9%")), "Not 9% New Affordability!","")</f>
        <v/>
      </c>
      <c r="L286" s="2142" t="s">
        <v>4896</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5"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5" customHeight="1">
      <c r="A291" s="2112" t="s">
        <v>1838</v>
      </c>
      <c r="B291" s="2120" t="s">
        <v>4920</v>
      </c>
      <c r="L291" s="2211" t="s">
        <v>4896</v>
      </c>
      <c r="M291" s="2111">
        <v>3</v>
      </c>
      <c r="N291" s="2147"/>
      <c r="O291" s="2011"/>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5"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5" customHeight="1">
      <c r="A297" s="2109"/>
      <c r="B297" s="2131" t="s">
        <v>4847</v>
      </c>
      <c r="C297" s="2109"/>
      <c r="D297" s="2109"/>
      <c r="E297" s="2109"/>
      <c r="F297" s="2109"/>
      <c r="G297" s="2109"/>
      <c r="H297" s="2109"/>
      <c r="I297" s="2109"/>
      <c r="J297" s="2109"/>
      <c r="K297" s="2109"/>
      <c r="M297" s="2111"/>
      <c r="O297" s="2122"/>
      <c r="AM297" s="2494">
        <v>297</v>
      </c>
    </row>
    <row r="298" spans="1:39" ht="15.95" customHeight="1">
      <c r="A298" s="3829"/>
      <c r="B298" s="3830"/>
      <c r="C298" s="3830"/>
      <c r="D298" s="3830"/>
      <c r="E298" s="3830"/>
      <c r="F298" s="3830"/>
      <c r="G298" s="3830"/>
      <c r="H298" s="3830"/>
      <c r="I298" s="3830"/>
      <c r="J298" s="3830"/>
      <c r="K298" s="3830"/>
      <c r="L298" s="3830"/>
      <c r="M298" s="3830"/>
      <c r="N298" s="3830"/>
      <c r="O298" s="3830"/>
      <c r="P298" s="3831"/>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5.95" customHeight="1" thickBot="1">
      <c r="A303" s="2132" t="s">
        <v>3284</v>
      </c>
      <c r="B303" s="2133" t="s">
        <v>4850</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4998</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3307</v>
      </c>
      <c r="E306" s="2133"/>
      <c r="J306" s="2305">
        <f>MAX(O206,O212+O222+O229)</f>
        <v>0</v>
      </c>
      <c r="K306" s="2306">
        <f>MAX(P206,P212+P222+P229)</f>
        <v>0</v>
      </c>
      <c r="L306" s="2307"/>
      <c r="M306" s="3941" t="str">
        <f>$J$12</f>
        <v>Other Metro</v>
      </c>
      <c r="N306" s="3872"/>
      <c r="O306" s="3872"/>
      <c r="P306" s="3872"/>
      <c r="Q306" s="2144"/>
      <c r="R306" s="2150"/>
      <c r="S306" s="2106"/>
      <c r="T306" s="2106"/>
      <c r="U306" s="2106"/>
      <c r="V306" s="2108"/>
      <c r="W306" s="2108"/>
      <c r="X306" s="2108"/>
      <c r="AM306" s="2494">
        <v>306</v>
      </c>
    </row>
    <row r="307" spans="1:48" s="2109" customFormat="1" ht="15.95" customHeight="1">
      <c r="A307" s="2132"/>
      <c r="B307" s="2133"/>
      <c r="C307" s="2304"/>
      <c r="D307" s="2109" t="s">
        <v>3910</v>
      </c>
      <c r="E307" s="2133"/>
      <c r="J307" s="2308">
        <f>MAX($J$251,$O$238)</f>
        <v>9</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29"/>
      <c r="B312" s="3830"/>
      <c r="C312" s="3830"/>
      <c r="D312" s="3830"/>
      <c r="E312" s="3830"/>
      <c r="F312" s="3830"/>
      <c r="G312" s="3830"/>
      <c r="H312" s="3830"/>
      <c r="I312" s="3830"/>
      <c r="J312" s="3830"/>
      <c r="K312" s="3830"/>
      <c r="L312" s="3830"/>
      <c r="M312" s="3830"/>
      <c r="N312" s="3830"/>
      <c r="O312" s="3830"/>
      <c r="P312" s="3831"/>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3285</v>
      </c>
      <c r="B317" s="2133" t="s">
        <v>4851</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4933</v>
      </c>
      <c r="D319" s="2133"/>
      <c r="E319" s="2133"/>
      <c r="L319" s="3942" t="s">
        <v>4935</v>
      </c>
      <c r="M319" s="3942"/>
      <c r="O319" s="3942" t="s">
        <v>4936</v>
      </c>
      <c r="P319" s="3942"/>
      <c r="Q319" s="2144"/>
      <c r="R319" s="2106"/>
      <c r="S319" s="2106"/>
      <c r="T319" s="2106"/>
      <c r="U319" s="2106"/>
      <c r="V319" s="2106"/>
      <c r="W319" s="2108"/>
      <c r="X319" s="2108"/>
      <c r="AM319" s="2495">
        <v>319</v>
      </c>
    </row>
    <row r="320" spans="1:48" s="2109" customFormat="1" ht="15.95" customHeight="1">
      <c r="A320" s="2132"/>
      <c r="C320" s="2109" t="s">
        <v>4934</v>
      </c>
      <c r="D320" s="2133"/>
      <c r="E320" s="2133"/>
      <c r="F320" s="2109" t="s">
        <v>4120</v>
      </c>
      <c r="I320" s="2109" t="s">
        <v>574</v>
      </c>
      <c r="K320" s="2111" t="s">
        <v>4744</v>
      </c>
      <c r="L320" s="3942"/>
      <c r="M320" s="3942"/>
      <c r="O320" s="3942"/>
      <c r="P320" s="3942"/>
      <c r="Q320" s="2144"/>
      <c r="R320" s="2106"/>
      <c r="S320" s="2106"/>
      <c r="T320" s="2106"/>
      <c r="U320" s="2106"/>
      <c r="V320" s="2106"/>
      <c r="W320" s="2108"/>
      <c r="X320" s="2108"/>
      <c r="AM320" s="2494">
        <v>320</v>
      </c>
      <c r="AV320" s="2304"/>
    </row>
    <row r="321" spans="1:39" s="2109" customFormat="1" ht="15.95" customHeight="1">
      <c r="A321" s="2132"/>
      <c r="B321" s="2292" t="s">
        <v>1839</v>
      </c>
      <c r="C321" s="3951" t="s">
        <v>5163</v>
      </c>
      <c r="D321" s="3951"/>
      <c r="E321" s="3951"/>
      <c r="F321" s="3951" t="s">
        <v>5165</v>
      </c>
      <c r="G321" s="3951"/>
      <c r="H321" s="3951"/>
      <c r="I321" s="3952" t="s">
        <v>5164</v>
      </c>
      <c r="J321" s="3952"/>
      <c r="K321" s="2385">
        <v>31069</v>
      </c>
      <c r="L321" s="3953">
        <v>11.1</v>
      </c>
      <c r="M321" s="3953"/>
      <c r="N321" s="2289"/>
      <c r="O321" s="3954">
        <v>400</v>
      </c>
      <c r="P321" s="3954"/>
      <c r="Q321" s="2144"/>
      <c r="R321" s="2106"/>
      <c r="S321" s="2106"/>
      <c r="T321" s="2106"/>
      <c r="U321" s="2106"/>
      <c r="V321" s="2106"/>
      <c r="W321" s="2108"/>
      <c r="X321" s="2108"/>
      <c r="AM321" s="2495">
        <v>321</v>
      </c>
    </row>
    <row r="322" spans="1:39" s="2109" customFormat="1" ht="15.95" customHeight="1">
      <c r="A322" s="2132"/>
      <c r="B322" s="2151" t="s">
        <v>1841</v>
      </c>
      <c r="C322" s="3955"/>
      <c r="D322" s="3955"/>
      <c r="E322" s="3955"/>
      <c r="F322" s="3955"/>
      <c r="G322" s="3955"/>
      <c r="H322" s="3955"/>
      <c r="I322" s="3956"/>
      <c r="J322" s="3956"/>
      <c r="K322" s="2386"/>
      <c r="L322" s="3957"/>
      <c r="M322" s="3957"/>
      <c r="N322" s="2289"/>
      <c r="O322" s="3958"/>
      <c r="P322" s="3958"/>
      <c r="Q322" s="2144"/>
      <c r="R322" s="2106"/>
      <c r="S322" s="2106"/>
      <c r="T322" s="2106"/>
      <c r="U322" s="2106"/>
      <c r="V322" s="2106"/>
      <c r="W322" s="2108"/>
      <c r="X322" s="2108"/>
      <c r="AM322" s="2494">
        <v>322</v>
      </c>
    </row>
    <row r="323" spans="1:39" s="2109" customFormat="1" ht="15.95" customHeight="1">
      <c r="A323" s="2132"/>
      <c r="B323" s="2151" t="s">
        <v>2326</v>
      </c>
      <c r="C323" s="3955"/>
      <c r="D323" s="3955"/>
      <c r="E323" s="3955"/>
      <c r="F323" s="3955"/>
      <c r="G323" s="3955"/>
      <c r="H323" s="3955"/>
      <c r="I323" s="3956"/>
      <c r="J323" s="3956"/>
      <c r="K323" s="2386"/>
      <c r="L323" s="3957"/>
      <c r="M323" s="3957"/>
      <c r="N323" s="2289"/>
      <c r="O323" s="3958"/>
      <c r="P323" s="3958"/>
      <c r="Q323" s="2144"/>
      <c r="R323" s="2106"/>
      <c r="S323" s="2106"/>
      <c r="T323" s="2106"/>
      <c r="U323" s="2106"/>
      <c r="V323" s="2106"/>
      <c r="W323" s="2108"/>
      <c r="X323" s="2108"/>
      <c r="AM323" s="2494">
        <v>323</v>
      </c>
    </row>
    <row r="324" spans="1:39" s="2109" customFormat="1" ht="15.95"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5.95"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829"/>
      <c r="B326" s="3830"/>
      <c r="C326" s="3830"/>
      <c r="D326" s="3830"/>
      <c r="E326" s="3830"/>
      <c r="F326" s="3830"/>
      <c r="G326" s="3830"/>
      <c r="H326" s="3830"/>
      <c r="I326" s="3830"/>
      <c r="J326" s="3830"/>
      <c r="K326" s="3830"/>
      <c r="L326" s="3830"/>
      <c r="M326" s="3830"/>
      <c r="N326" s="3830"/>
      <c r="O326" s="3830"/>
      <c r="P326" s="3831"/>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3288</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4926</v>
      </c>
      <c r="G332" s="2214" t="s">
        <v>3068</v>
      </c>
      <c r="H332" s="2321">
        <f>IF('Part V-Revenues &amp; Expenses'!$P$67=0,0,'Part V-Revenues &amp; Expenses'!$P$64/'Part V-Revenues &amp; Expenses'!$P$67)</f>
        <v>0.125</v>
      </c>
      <c r="L332" s="2146" t="str">
        <f t="shared" ref="L332:L333" si="11">IF(OR($O332=$M332,$O332=0,$O332=""),"","* * Check Score! * *")</f>
        <v/>
      </c>
      <c r="M332" s="2111">
        <v>1</v>
      </c>
      <c r="N332" s="2147"/>
      <c r="O332" s="2013">
        <v>1</v>
      </c>
      <c r="P332" s="2238"/>
      <c r="Q332" s="2149" t="str">
        <f>IF(OR($O332=$M332,$O332=0,$O332=""),"","*CHECK!*")</f>
        <v/>
      </c>
      <c r="R332" s="2150"/>
      <c r="AM332" s="2494">
        <v>332</v>
      </c>
    </row>
    <row r="333" spans="1:39" ht="15.95" customHeight="1">
      <c r="A333" s="2112" t="s">
        <v>1838</v>
      </c>
      <c r="B333" s="2193" t="s">
        <v>3689</v>
      </c>
      <c r="G333" s="3959" t="str">
        <f>'Part V-Revenues &amp; Expenses'!$O$53</f>
        <v>40% of Units at 60% of AMI</v>
      </c>
      <c r="H333" s="3960"/>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3289</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961" t="s">
        <v>3762</v>
      </c>
      <c r="H340" s="3962"/>
      <c r="I340" s="3962"/>
      <c r="J340" s="3962"/>
      <c r="K340" s="3962"/>
      <c r="L340" s="3963"/>
      <c r="M340" s="2165"/>
      <c r="N340" s="2165"/>
      <c r="O340" s="2165"/>
      <c r="P340" s="2165"/>
      <c r="Q340" s="2109"/>
      <c r="AM340" s="2494">
        <v>340</v>
      </c>
    </row>
    <row r="341" spans="1:39" s="2164" customFormat="1" ht="15.95"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4" t="s">
        <v>3327</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5.95"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4847</v>
      </c>
      <c r="C344" s="2109"/>
      <c r="D344" s="2109"/>
      <c r="E344" s="2109"/>
      <c r="F344" s="2109"/>
      <c r="G344" s="2109"/>
      <c r="H344" s="2109"/>
      <c r="I344" s="2109"/>
      <c r="J344" s="2109"/>
      <c r="K344" s="2109"/>
      <c r="M344" s="2111"/>
      <c r="O344" s="2122"/>
      <c r="AM344" s="2494">
        <v>344</v>
      </c>
    </row>
    <row r="345" spans="1:39" ht="15.95" customHeight="1">
      <c r="A345" s="3975" t="s">
        <v>905</v>
      </c>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3290</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4480</v>
      </c>
      <c r="D351" s="2163"/>
      <c r="E351" s="2213" t="s">
        <v>4491</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829" t="s">
        <v>5168</v>
      </c>
      <c r="B354" s="3830"/>
      <c r="C354" s="3830"/>
      <c r="D354" s="3830"/>
      <c r="E354" s="3830"/>
      <c r="F354" s="3830"/>
      <c r="G354" s="3830"/>
      <c r="H354" s="3830"/>
      <c r="I354" s="3830"/>
      <c r="J354" s="3830"/>
      <c r="K354" s="3830"/>
      <c r="L354" s="3830"/>
      <c r="M354" s="3830"/>
      <c r="N354" s="3830"/>
      <c r="O354" s="3830"/>
      <c r="P354" s="3831"/>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3291</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3069</v>
      </c>
      <c r="D360" s="2193"/>
      <c r="E360" s="2193"/>
      <c r="G360" s="2109"/>
      <c r="I360" s="3961" t="s">
        <v>5166</v>
      </c>
      <c r="J360" s="3962"/>
      <c r="K360" s="3962"/>
      <c r="L360" s="396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4847</v>
      </c>
      <c r="L362" s="2108"/>
      <c r="M362" s="2111"/>
      <c r="N362" s="2129"/>
      <c r="O362" s="2122"/>
      <c r="P362" s="2121"/>
      <c r="AM362" s="2494">
        <v>362</v>
      </c>
    </row>
    <row r="363" spans="1:39" ht="15.95" customHeight="1">
      <c r="A363" s="3829"/>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3292</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4033</v>
      </c>
      <c r="D370" s="2133"/>
      <c r="E370" s="2133"/>
      <c r="L370" s="2211" t="s">
        <v>4896</v>
      </c>
      <c r="M370" s="2112">
        <v>6</v>
      </c>
      <c r="N370" s="2111"/>
      <c r="O370" s="2011"/>
      <c r="P370" s="2229"/>
      <c r="Q370" s="2144"/>
      <c r="R370" s="2150"/>
      <c r="AM370" s="2494">
        <v>370</v>
      </c>
    </row>
    <row r="371" spans="1:39" s="2109" customFormat="1" ht="15.95"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5" customHeight="1">
      <c r="A372" s="2223"/>
      <c r="B372" s="2109" t="s">
        <v>4710</v>
      </c>
      <c r="D372" s="2133"/>
      <c r="E372" s="2133"/>
      <c r="F372" s="2125"/>
      <c r="L372" s="2149"/>
      <c r="M372" s="2112"/>
      <c r="N372" s="2111"/>
      <c r="O372" s="2015"/>
      <c r="P372" s="2156"/>
      <c r="Q372" s="2144"/>
      <c r="R372" s="2150"/>
      <c r="AM372" s="2495">
        <v>372</v>
      </c>
    </row>
    <row r="373" spans="1:39" s="2164" customFormat="1" ht="15.95" customHeight="1">
      <c r="A373" s="2112" t="s">
        <v>697</v>
      </c>
      <c r="B373" s="2274" t="s">
        <v>4035</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5.95"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5.95"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4995</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3306</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3909</v>
      </c>
      <c r="E378" s="2133"/>
      <c r="J378" s="2305">
        <f>MAX(O169,O178+O179+O181+O182+O183)</f>
        <v>0</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3251</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4996</v>
      </c>
      <c r="F380" s="2234"/>
      <c r="I380" s="2248" t="s">
        <v>4997</v>
      </c>
      <c r="J380" s="2442">
        <f>MAX(J381:J383)</f>
        <v>9</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3307</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3910</v>
      </c>
      <c r="F382" s="2234"/>
      <c r="J382" s="2308">
        <f>MAX($J$251,$O$238)</f>
        <v>9</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3178</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5"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5" customHeight="1">
      <c r="A388" s="2112"/>
      <c r="B388" s="2108" t="s">
        <v>1132</v>
      </c>
      <c r="D388" s="2108" t="s">
        <v>4743</v>
      </c>
      <c r="E388" s="2109"/>
      <c r="F388" s="2109"/>
      <c r="G388" s="2109" t="s">
        <v>4120</v>
      </c>
      <c r="H388" s="2109"/>
      <c r="I388" s="2109"/>
      <c r="J388" s="2109" t="s">
        <v>574</v>
      </c>
      <c r="L388" s="2129" t="s">
        <v>4744</v>
      </c>
      <c r="M388" s="3750" t="s">
        <v>4748</v>
      </c>
      <c r="N388" s="3750"/>
      <c r="O388" s="3750"/>
      <c r="P388" s="3750"/>
      <c r="Q388" s="2149"/>
      <c r="AM388" s="2494">
        <v>388</v>
      </c>
    </row>
    <row r="389" spans="1:39" ht="15.95"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5.95"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3741</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4690</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4691</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4930</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4931</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4904</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4932</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5" customHeight="1">
      <c r="A400" s="2109"/>
      <c r="B400" s="2131" t="s">
        <v>4847</v>
      </c>
      <c r="C400" s="2109"/>
      <c r="D400" s="2109"/>
      <c r="E400" s="2109"/>
      <c r="F400" s="2109"/>
      <c r="G400" s="2109"/>
      <c r="H400" s="2109"/>
      <c r="I400" s="2109"/>
      <c r="J400" s="2109"/>
      <c r="K400" s="2109"/>
      <c r="M400" s="2111"/>
      <c r="O400" s="2122"/>
      <c r="AM400" s="2494">
        <v>400</v>
      </c>
    </row>
    <row r="401" spans="1:39" ht="15.95" customHeight="1">
      <c r="A401" s="3829"/>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4999</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50000000000003" customHeight="1">
      <c r="A410" s="3985" t="s">
        <v>5033</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15" customHeight="1">
      <c r="A411" s="3964"/>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4458</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4459</v>
      </c>
      <c r="AW419" s="3988"/>
      <c r="AX419" s="3988"/>
      <c r="AY419" s="3989"/>
      <c r="AZ419" s="3990" t="s">
        <v>4460</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4767</v>
      </c>
      <c r="AH421" s="3999"/>
      <c r="AI421" s="3999" t="s">
        <v>4403</v>
      </c>
      <c r="AJ421" s="3999"/>
      <c r="AK421" s="4002" t="s">
        <v>4039</v>
      </c>
      <c r="AL421" s="4002"/>
      <c r="AM421" s="4002"/>
      <c r="AN421" s="4002"/>
      <c r="AP421" s="2134"/>
      <c r="AQ421" s="2133" t="s">
        <v>4038</v>
      </c>
      <c r="AR421" s="2134"/>
      <c r="AS421" s="2134"/>
      <c r="AT421" s="2134"/>
      <c r="AV421" s="4003" t="s">
        <v>4767</v>
      </c>
      <c r="AW421" s="4004"/>
      <c r="AX421" s="4003" t="s">
        <v>4403</v>
      </c>
      <c r="AY421" s="4004"/>
      <c r="AZ421" s="4005" t="s">
        <v>4767</v>
      </c>
      <c r="BA421" s="4005"/>
      <c r="BB421" s="3997" t="s">
        <v>4403</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999" t="str">
        <f>'Part I-Project Identification'!F12</f>
        <v>9% Credit Competitive Round only</v>
      </c>
      <c r="AL422" s="3999"/>
      <c r="AM422" s="3999"/>
      <c r="AN422" s="399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3310</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3310</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3168</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4000" t="s">
        <v>4457</v>
      </c>
      <c r="AL428" s="4000"/>
      <c r="AM428" s="4000"/>
      <c r="AN428" s="400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3223</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3306</v>
      </c>
      <c r="AC432" s="2028"/>
      <c r="AD432" s="2028"/>
      <c r="AE432" s="2028"/>
      <c r="AF432" s="2028"/>
      <c r="AG432" s="2467">
        <f>$M$160</f>
        <v>20</v>
      </c>
      <c r="AH432" s="2467">
        <f>$M$160</f>
        <v>20</v>
      </c>
      <c r="AI432" s="2467"/>
      <c r="AJ432" s="2467"/>
      <c r="AK432" s="1998" t="s">
        <v>4044</v>
      </c>
      <c r="AL432" s="1998"/>
      <c r="AM432" s="2012"/>
      <c r="AN432" s="2012"/>
      <c r="AP432" s="2147" t="s">
        <v>343</v>
      </c>
      <c r="AQ432" s="2338" t="s">
        <v>3306</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3251</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3251</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3282</v>
      </c>
      <c r="AB435" s="1998" t="s">
        <v>3307</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3282</v>
      </c>
      <c r="AQ435" s="2338" t="s">
        <v>3307</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9</v>
      </c>
      <c r="AW436" s="2346">
        <f>$O$238</f>
        <v>9</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3167</v>
      </c>
      <c r="K437" s="2028"/>
      <c r="L437" s="2034"/>
      <c r="M437" s="2028"/>
      <c r="N437" s="2017"/>
      <c r="O437" s="2030">
        <v>1</v>
      </c>
      <c r="P437" s="2030"/>
      <c r="Q437" s="2028"/>
      <c r="R437" s="2028"/>
      <c r="S437" s="2028"/>
      <c r="AA437" s="2466" t="s">
        <v>3282</v>
      </c>
      <c r="AB437" s="1998" t="s">
        <v>3178</v>
      </c>
      <c r="AC437" s="2028"/>
      <c r="AD437" s="2028"/>
      <c r="AE437" s="2028"/>
      <c r="AF437" s="2028"/>
      <c r="AG437" s="2467">
        <f>$M$265</f>
        <v>10</v>
      </c>
      <c r="AH437" s="2467">
        <f>$M$265</f>
        <v>10</v>
      </c>
      <c r="AI437" s="2467"/>
      <c r="AJ437" s="2467"/>
      <c r="AK437" s="1998" t="s">
        <v>2437</v>
      </c>
      <c r="AL437" s="1998"/>
      <c r="AM437" s="2012"/>
      <c r="AN437" s="2012"/>
      <c r="AP437" s="2147" t="s">
        <v>3282</v>
      </c>
      <c r="AQ437" s="2338" t="s">
        <v>3178</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3189</v>
      </c>
      <c r="H438" s="2017">
        <v>2019</v>
      </c>
      <c r="I438" s="2017" t="s">
        <v>3935</v>
      </c>
      <c r="J438" s="2028" t="s">
        <v>2953</v>
      </c>
      <c r="K438" s="2028"/>
      <c r="L438" s="2034"/>
      <c r="M438" s="2028"/>
      <c r="N438" s="2017"/>
      <c r="O438" s="2030">
        <v>1</v>
      </c>
      <c r="P438" s="2030"/>
      <c r="Q438" s="2028"/>
      <c r="R438" s="2028"/>
      <c r="S438" s="2028"/>
      <c r="AA438" s="2466" t="s">
        <v>3283</v>
      </c>
      <c r="AB438" s="1998" t="s">
        <v>4030</v>
      </c>
      <c r="AC438" s="2028"/>
      <c r="AD438" s="2028"/>
      <c r="AE438" s="2028"/>
      <c r="AF438" s="2028"/>
      <c r="AG438" s="2467">
        <f>$M$274</f>
        <v>4</v>
      </c>
      <c r="AH438" s="2467">
        <f>$M$274</f>
        <v>4</v>
      </c>
      <c r="AI438" s="2467"/>
      <c r="AJ438" s="2467"/>
      <c r="AK438" s="1998" t="s">
        <v>4455</v>
      </c>
      <c r="AL438" s="1998"/>
      <c r="AM438" s="2012"/>
      <c r="AN438" s="2012"/>
      <c r="AP438" s="2147" t="s">
        <v>3283</v>
      </c>
      <c r="AQ438" s="2338" t="s">
        <v>4030</v>
      </c>
      <c r="AR438" s="2344"/>
      <c r="AS438" s="2344"/>
      <c r="AT438" s="2344"/>
      <c r="AU438" s="2344"/>
      <c r="AV438" s="2339">
        <f>$O$274</f>
        <v>4</v>
      </c>
      <c r="AW438" s="2346">
        <f>$O$274</f>
        <v>4</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3281</v>
      </c>
      <c r="AB439" s="1998" t="s">
        <v>3914</v>
      </c>
      <c r="AC439" s="2028"/>
      <c r="AD439" s="2028"/>
      <c r="AE439" s="2028"/>
      <c r="AF439" s="2028"/>
      <c r="AG439" s="2467">
        <f>$M$286</f>
        <v>5</v>
      </c>
      <c r="AH439" s="2467"/>
      <c r="AI439" s="2467"/>
      <c r="AJ439" s="2467"/>
      <c r="AK439" s="1998" t="s">
        <v>4456</v>
      </c>
      <c r="AL439" s="1998"/>
      <c r="AM439" s="2012"/>
      <c r="AN439" s="2468">
        <f>'Part II-Sources of Funds'!$L$14</f>
        <v>0</v>
      </c>
      <c r="AP439" s="2147" t="s">
        <v>3281</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3284</v>
      </c>
      <c r="AB440" s="2028" t="s">
        <v>4838</v>
      </c>
      <c r="AC440" s="2028"/>
      <c r="AD440" s="2028"/>
      <c r="AE440" s="2028"/>
      <c r="AF440" s="2028"/>
      <c r="AG440" s="2467">
        <f>$M$303</f>
        <v>10</v>
      </c>
      <c r="AH440" s="2467"/>
      <c r="AI440" s="2467"/>
      <c r="AJ440" s="2467"/>
      <c r="AK440" s="2028"/>
      <c r="AL440" s="2028"/>
      <c r="AM440" s="2017"/>
      <c r="AN440" s="2028"/>
      <c r="AP440" s="2147" t="s">
        <v>3284</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3285</v>
      </c>
      <c r="AB441" s="2028" t="s">
        <v>4839</v>
      </c>
      <c r="AC441" s="2028"/>
      <c r="AD441" s="2028"/>
      <c r="AE441" s="2028"/>
      <c r="AF441" s="2028"/>
      <c r="AG441" s="2467">
        <f>$M$317</f>
        <v>1</v>
      </c>
      <c r="AH441" s="2467"/>
      <c r="AI441" s="2467"/>
      <c r="AJ441" s="2467"/>
      <c r="AK441" s="2028"/>
      <c r="AL441" s="2028"/>
      <c r="AM441" s="2017"/>
      <c r="AN441" s="2028"/>
      <c r="AP441" s="2147" t="s">
        <v>3285</v>
      </c>
      <c r="AQ441" s="2338" t="s">
        <v>4839</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3288</v>
      </c>
      <c r="AB442" s="1998" t="s">
        <v>4029</v>
      </c>
      <c r="AC442" s="2028"/>
      <c r="AD442" s="2028"/>
      <c r="AE442" s="2028"/>
      <c r="AF442" s="2028"/>
      <c r="AG442" s="2467">
        <f>$M$331</f>
        <v>1</v>
      </c>
      <c r="AH442" s="2467"/>
      <c r="AI442" s="2467"/>
      <c r="AJ442" s="2467"/>
      <c r="AK442" s="2028"/>
      <c r="AL442" s="2028"/>
      <c r="AM442" s="2017"/>
      <c r="AN442" s="2028"/>
      <c r="AP442" s="2147" t="s">
        <v>3288</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3289</v>
      </c>
      <c r="AB443" s="1998" t="s">
        <v>3311</v>
      </c>
      <c r="AC443" s="2028"/>
      <c r="AD443" s="2028"/>
      <c r="AE443" s="2028"/>
      <c r="AF443" s="2028"/>
      <c r="AG443" s="2467">
        <f>$M$339</f>
        <v>2</v>
      </c>
      <c r="AH443" s="2467"/>
      <c r="AI443" s="2467"/>
      <c r="AJ443" s="2467"/>
      <c r="AK443" s="2028"/>
      <c r="AL443" s="2028"/>
      <c r="AM443" s="2017"/>
      <c r="AN443" s="2028"/>
      <c r="AP443" s="2147" t="s">
        <v>3289</v>
      </c>
      <c r="AQ443" s="2338" t="s">
        <v>3311</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3290</v>
      </c>
      <c r="AB444" s="1998" t="s">
        <v>4450</v>
      </c>
      <c r="AC444" s="2028"/>
      <c r="AD444" s="2028"/>
      <c r="AE444" s="2028"/>
      <c r="AF444" s="2028"/>
      <c r="AG444" s="2467">
        <f>$M$350</f>
        <v>2</v>
      </c>
      <c r="AH444" s="2467"/>
      <c r="AI444" s="2469">
        <f>$M$350</f>
        <v>2</v>
      </c>
      <c r="AJ444" s="2467"/>
      <c r="AK444" s="2028"/>
      <c r="AL444" s="2028"/>
      <c r="AM444" s="2017"/>
      <c r="AN444" s="2028"/>
      <c r="AP444" s="2147" t="s">
        <v>3290</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3291</v>
      </c>
      <c r="AB445" s="1998" t="s">
        <v>3309</v>
      </c>
      <c r="AC445" s="2028"/>
      <c r="AD445" s="2028"/>
      <c r="AE445" s="2028"/>
      <c r="AF445" s="2028"/>
      <c r="AG445" s="2467">
        <f>$M$359</f>
        <v>2</v>
      </c>
      <c r="AH445" s="2467"/>
      <c r="AI445" s="2469">
        <f>$M$359</f>
        <v>2</v>
      </c>
      <c r="AJ445" s="2467"/>
      <c r="AK445" s="2028"/>
      <c r="AL445" s="2028"/>
      <c r="AM445" s="2017"/>
      <c r="AN445" s="2028"/>
      <c r="AP445" s="2147" t="s">
        <v>3291</v>
      </c>
      <c r="AQ445" s="2338" t="s">
        <v>3309</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3292</v>
      </c>
      <c r="AB446" s="2028" t="s">
        <v>4840</v>
      </c>
      <c r="AC446" s="2028"/>
      <c r="AD446" s="2028"/>
      <c r="AE446" s="2028"/>
      <c r="AF446" s="2028"/>
      <c r="AG446" s="2467"/>
      <c r="AH446" s="2467"/>
      <c r="AI446" s="2467">
        <f>$M$368</f>
        <v>0</v>
      </c>
      <c r="AJ446" s="2467">
        <f>$M$368</f>
        <v>0</v>
      </c>
      <c r="AK446" s="2028"/>
      <c r="AL446" s="2028"/>
      <c r="AM446" s="2017"/>
      <c r="AN446" s="2028"/>
      <c r="AP446" s="2147" t="s">
        <v>3292</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3177</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3249</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v>
      </c>
      <c r="AW449" s="2382">
        <f>IF(AND($O$12="4%",($C$12-$A$12)&gt;0),(SUM(AW423:AW447)-($C$12-$A$12)),SUM(AW423:AW447))</f>
        <v>75</v>
      </c>
      <c r="AX449" s="2382">
        <f>IF(AND($O$12="4%",($C$12-$A$12)&gt;0),(SUM(AX423:AX447)-($C$12-$A$12)),SUM(AX423:AX447))</f>
        <v>43</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3240</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3172</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3258</v>
      </c>
      <c r="H456" s="2017" t="s">
        <v>3936</v>
      </c>
      <c r="I456" s="2033" t="s">
        <v>2446</v>
      </c>
      <c r="J456" s="2028" t="s">
        <v>3242</v>
      </c>
      <c r="K456" s="2028"/>
      <c r="L456" s="2034"/>
      <c r="M456" s="2028"/>
      <c r="N456" s="2017"/>
      <c r="O456" s="2030"/>
      <c r="P456" s="2030"/>
      <c r="Q456" s="2028"/>
      <c r="R456" s="2028"/>
      <c r="S456" s="2028"/>
      <c r="AB456" s="2304"/>
      <c r="AC456" s="2109" t="s">
        <v>3307</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3245</v>
      </c>
      <c r="K457" s="2028"/>
      <c r="L457" s="2034"/>
      <c r="M457" s="2028"/>
      <c r="N457" s="2028"/>
      <c r="O457" s="2028"/>
      <c r="P457" s="2028"/>
      <c r="Q457" s="2028"/>
      <c r="R457" s="2028"/>
      <c r="S457" s="2028"/>
      <c r="AB457" s="2304"/>
      <c r="AC457" s="2109" t="s">
        <v>3910</v>
      </c>
      <c r="AD457" s="2133"/>
      <c r="AE457" s="2109"/>
      <c r="AF457" s="2109"/>
      <c r="AG457" s="2109"/>
      <c r="AH457" s="2109"/>
      <c r="AI457" s="2308">
        <f>$O$238</f>
        <v>9</v>
      </c>
      <c r="AJ457" s="2309">
        <f>$P$238</f>
        <v>0</v>
      </c>
      <c r="AK457" s="2307"/>
    </row>
    <row r="458" spans="1:55">
      <c r="B458" s="2028"/>
      <c r="C458" s="2028"/>
      <c r="D458" s="2028"/>
      <c r="E458" s="2028"/>
      <c r="F458" s="2028"/>
      <c r="G458" s="2035" t="s">
        <v>375</v>
      </c>
      <c r="H458" s="2017">
        <v>2020</v>
      </c>
      <c r="I458" s="2017" t="s">
        <v>3935</v>
      </c>
      <c r="J458" s="2028" t="s">
        <v>3248</v>
      </c>
      <c r="K458" s="2028"/>
      <c r="L458" s="2028"/>
      <c r="M458" s="2028"/>
      <c r="N458" s="2028"/>
      <c r="O458" s="2028"/>
      <c r="P458" s="2028"/>
      <c r="Q458" s="2028"/>
      <c r="R458" s="2028"/>
      <c r="S458" s="2028"/>
      <c r="AB458" s="2304"/>
      <c r="AC458" s="2109" t="s">
        <v>3178</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3173</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2446</v>
      </c>
      <c r="J460" s="2028" t="s">
        <v>3174</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3243</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3246</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3247</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3175</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3176</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SXwxkbaUOXRwln8QVDAe5fgi9zT9KzU4+kV8KWR9MR6j2t+48qKkNNK6RcUuNGDlpJNuvjser41eWh072/FTlQ==" saltValue="K1+EuGEKrcw8D4b9UNTQow=="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5" bottom="0.5" header="0.3" footer="0.3"/>
  <pageSetup scale="84" fitToHeight="0" orientation="landscape"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Flats at Lake View II, Warner Robins, Houston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5053</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3206</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3183</v>
      </c>
      <c r="G9" s="1729"/>
      <c r="H9" s="1729"/>
      <c r="I9" s="2509">
        <f>'Part III-A-Uses of Funds'!$J$191</f>
        <v>1350000</v>
      </c>
      <c r="J9" s="2509"/>
      <c r="K9" s="1729"/>
      <c r="L9" s="1729" t="s">
        <v>3184</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2024QD053</v>
      </c>
      <c r="P11" s="1729"/>
    </row>
    <row r="12" spans="1:16" ht="15">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3553</v>
      </c>
      <c r="C14" s="1729"/>
      <c r="D14" s="2508"/>
      <c r="E14" s="1534"/>
      <c r="F14" s="1729"/>
      <c r="G14" s="1534"/>
      <c r="H14" s="1534"/>
      <c r="I14" s="2518" t="s">
        <v>3211</v>
      </c>
      <c r="J14" s="1729"/>
      <c r="K14" s="1729"/>
      <c r="L14" s="2512"/>
      <c r="M14" s="1729"/>
      <c r="N14" s="1729"/>
      <c r="O14" s="1729"/>
      <c r="P14" s="1729"/>
    </row>
    <row r="15" spans="1:16">
      <c r="A15" s="1729"/>
      <c r="B15" s="1729" t="s">
        <v>3212</v>
      </c>
      <c r="C15" s="1729"/>
      <c r="D15" s="1729"/>
      <c r="E15" s="1729"/>
      <c r="F15" s="1729" t="str">
        <f>'Part I-Project Identification'!F16</f>
        <v>Zimmerman Properties SE, LLC</v>
      </c>
      <c r="G15" s="1729"/>
      <c r="H15" s="1729"/>
      <c r="I15" s="1729" t="s">
        <v>1665</v>
      </c>
      <c r="J15" s="1729" t="str">
        <f>'Part I-Project Identification'!J16</f>
        <v>Vaughn Zimmerman</v>
      </c>
      <c r="K15" s="1729"/>
      <c r="L15" s="1729"/>
      <c r="M15" s="2508" t="s">
        <v>1834</v>
      </c>
      <c r="N15" s="1729" t="str">
        <f>'Part I-Project Identification'!N16</f>
        <v>Managing Member</v>
      </c>
      <c r="O15" s="1729"/>
      <c r="P15" s="1729"/>
    </row>
    <row r="16" spans="1:16">
      <c r="A16" s="1729"/>
      <c r="B16" s="2508" t="s">
        <v>1597</v>
      </c>
      <c r="C16" s="1729"/>
      <c r="D16" s="1729"/>
      <c r="E16" s="1729"/>
      <c r="F16" s="2519">
        <f>'Part I-Project Identification'!F17</f>
        <v>4178831632</v>
      </c>
      <c r="G16" s="2519"/>
      <c r="H16" s="2519"/>
      <c r="I16" s="2508" t="s">
        <v>1596</v>
      </c>
      <c r="J16" s="1534">
        <f>'Part I-Project Identification'!J17</f>
        <v>0</v>
      </c>
      <c r="K16" s="1729"/>
      <c r="L16" s="1729"/>
      <c r="M16" s="2508" t="s">
        <v>1598</v>
      </c>
      <c r="N16" s="2519">
        <f>'Part I-Project Identification'!N17</f>
        <v>0</v>
      </c>
      <c r="O16" s="2519"/>
      <c r="P16" s="2519"/>
    </row>
    <row r="17" spans="1:16">
      <c r="A17" s="1729"/>
      <c r="B17" s="2508" t="s">
        <v>1837</v>
      </c>
      <c r="C17" s="1729"/>
      <c r="D17" s="1729"/>
      <c r="E17" s="1729"/>
      <c r="F17" s="1729" t="str">
        <f>'Part I-Project Identification'!F18</f>
        <v>zpse@wilhoitproperties.com</v>
      </c>
      <c r="G17" s="1729"/>
      <c r="H17" s="1729"/>
      <c r="I17" s="1729"/>
      <c r="J17" s="1729"/>
      <c r="K17" s="1729"/>
      <c r="L17" s="1729"/>
      <c r="M17" s="2508" t="s">
        <v>1833</v>
      </c>
      <c r="N17" s="2519">
        <f>'Part I-Project Identification'!N18</f>
        <v>0</v>
      </c>
      <c r="O17" s="2519"/>
      <c r="P17" s="2519"/>
    </row>
    <row r="18" spans="1:16">
      <c r="A18" s="2502"/>
      <c r="B18" s="2501" t="s">
        <v>3552</v>
      </c>
      <c r="C18" s="377"/>
      <c r="D18" s="1729"/>
      <c r="E18" s="1729"/>
      <c r="F18" s="1729"/>
      <c r="G18" s="1729"/>
      <c r="H18" s="1534"/>
      <c r="I18" s="1729"/>
      <c r="J18" s="377"/>
      <c r="K18" s="1729"/>
      <c r="L18" s="1729"/>
      <c r="M18" s="1729"/>
      <c r="N18" s="1729"/>
      <c r="O18" s="1729"/>
      <c r="P18" s="1534"/>
    </row>
    <row r="19" spans="1:16">
      <c r="A19" s="1729"/>
      <c r="B19" s="1729" t="s">
        <v>3212</v>
      </c>
      <c r="C19" s="1729"/>
      <c r="D19" s="1729"/>
      <c r="E19" s="1729"/>
      <c r="F19" s="1729" t="str">
        <f>'Part I-Project Identification'!F20</f>
        <v>Zimmerman Properties SE, LLC</v>
      </c>
      <c r="G19" s="1729"/>
      <c r="H19" s="1729"/>
      <c r="I19" s="1729" t="s">
        <v>1665</v>
      </c>
      <c r="J19" s="1729" t="str">
        <f>'Part I-Project Identification'!J20</f>
        <v>Robert Fink</v>
      </c>
      <c r="K19" s="1729"/>
      <c r="L19" s="1729"/>
      <c r="M19" s="2508" t="s">
        <v>1834</v>
      </c>
      <c r="N19" s="1729" t="str">
        <f>'Part I-Project Identification'!N20</f>
        <v>VP of Development -SE Region</v>
      </c>
      <c r="O19" s="1729"/>
      <c r="P19" s="1729"/>
    </row>
    <row r="20" spans="1:16">
      <c r="A20" s="1729"/>
      <c r="B20" s="2508" t="s">
        <v>1597</v>
      </c>
      <c r="C20" s="1729"/>
      <c r="D20" s="1729"/>
      <c r="E20" s="1729"/>
      <c r="F20" s="2519">
        <f>'Part I-Project Identification'!F21</f>
        <v>0</v>
      </c>
      <c r="G20" s="2519"/>
      <c r="H20" s="2519"/>
      <c r="I20" s="2508" t="s">
        <v>1596</v>
      </c>
      <c r="J20" s="1534">
        <f>'Part I-Project Identification'!J21</f>
        <v>0</v>
      </c>
      <c r="K20" s="1729"/>
      <c r="L20" s="1729"/>
      <c r="M20" s="2508" t="s">
        <v>1598</v>
      </c>
      <c r="N20" s="2519">
        <f>'Part I-Project Identification'!N21</f>
        <v>0</v>
      </c>
      <c r="O20" s="2519"/>
      <c r="P20" s="2519"/>
    </row>
    <row r="21" spans="1:16">
      <c r="A21" s="1729"/>
      <c r="B21" s="2508" t="s">
        <v>1837</v>
      </c>
      <c r="C21" s="1729"/>
      <c r="D21" s="1729"/>
      <c r="E21" s="1729"/>
      <c r="F21" s="1729" t="str">
        <f>'Part I-Project Identification'!F22</f>
        <v>rfink@wilhoitproperties.com</v>
      </c>
      <c r="G21" s="1729"/>
      <c r="H21" s="1729"/>
      <c r="I21" s="1729"/>
      <c r="J21" s="1729"/>
      <c r="K21" s="1729"/>
      <c r="L21" s="1729"/>
      <c r="M21" s="2508" t="s">
        <v>1833</v>
      </c>
      <c r="N21" s="2519">
        <f>'Part I-Project Identification'!N22</f>
        <v>4178831632</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Flats at Lake View II</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Warner Robins</v>
      </c>
      <c r="G26" s="1729"/>
      <c r="H26" s="1729"/>
      <c r="I26" s="2521" t="s">
        <v>575</v>
      </c>
      <c r="J26" s="1729" t="str">
        <f>'Part I-Project Identification'!J27</f>
        <v>Houston</v>
      </c>
      <c r="K26" s="1729"/>
      <c r="L26" s="1729"/>
      <c r="M26" s="2508" t="s">
        <v>425</v>
      </c>
      <c r="N26" s="1729"/>
      <c r="O26" s="1729"/>
      <c r="P26" s="2520" t="str">
        <f>'Part I-Project Identification'!P27</f>
        <v>No</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4.75</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Warner Robins</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3808</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Flats at Lake View II is the master planned expansion for the existing Flats at Lake View (2022-014).  All amenities for the second phase will be included within the clubhouse space of  current phase one (which is under construction).  The applicant has included DCA’s prior approval of this concept with Folder 52.  If selected for an award, the applicant will submit the request again as a waiver, to confirm a current approval for this concept under the 2024 round.  As we understand waivers for Threshold will not be allowed to be submitted until after the Competitive Review submission.</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Flats at Lake View II, Warner Robins, Houston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3981</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3753</v>
      </c>
      <c r="D50" s="1729"/>
      <c r="E50" s="1534">
        <f>'Part II-Sources of Funds'!E7</f>
        <v>0</v>
      </c>
      <c r="F50" s="2505" t="s">
        <v>3982</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4555</v>
      </c>
      <c r="D51" s="2475"/>
      <c r="E51" s="2475"/>
      <c r="F51" s="2475" t="s">
        <v>4558</v>
      </c>
      <c r="G51" s="2475"/>
      <c r="H51" s="2475" t="str">
        <f>'Part II-Sources of Funds'!H8</f>
        <v>Specify Other HOME Source here</v>
      </c>
      <c r="I51" s="2475"/>
      <c r="J51" s="2475"/>
      <c r="K51" s="2475"/>
      <c r="L51" s="1534">
        <f>'Part II-Sources of Funds'!L8</f>
        <v>0</v>
      </c>
      <c r="M51" s="2505" t="s">
        <v>4560</v>
      </c>
      <c r="N51" s="2475"/>
      <c r="O51" s="2475"/>
      <c r="P51" s="2528"/>
      <c r="Q51" s="2528"/>
    </row>
    <row r="52" spans="1:17" ht="13.5">
      <c r="A52" s="2502"/>
      <c r="B52" s="1534">
        <f>'Part II-Sources of Funds'!B9</f>
        <v>0</v>
      </c>
      <c r="C52" s="2475" t="s">
        <v>3217</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3754</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3108</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3109</v>
      </c>
      <c r="D55" s="2475"/>
      <c r="E55" s="2475"/>
      <c r="F55" s="2475" t="str">
        <f>'Part II-Sources of Funds'!F12</f>
        <v>Specify Source/Administrator of Other STATE/LOCAL Funding here</v>
      </c>
      <c r="G55" s="2475"/>
      <c r="H55" s="2475"/>
      <c r="I55" s="2475"/>
      <c r="J55" s="2475"/>
      <c r="K55" s="2475"/>
      <c r="L55" s="1534">
        <f>'Part II-Sources of Funds'!L12</f>
        <v>0</v>
      </c>
      <c r="M55" s="2475" t="s">
        <v>3135</v>
      </c>
      <c r="N55" s="2475"/>
      <c r="O55" s="2475"/>
      <c r="P55" s="2475"/>
      <c r="Q55" s="2475"/>
    </row>
    <row r="56" spans="1:17" ht="13.5">
      <c r="A56" s="2502"/>
      <c r="B56" s="1534">
        <f>'Part II-Sources of Funds'!B13</f>
        <v>0</v>
      </c>
      <c r="C56" s="2505" t="s">
        <v>4557</v>
      </c>
      <c r="D56" s="2475"/>
      <c r="E56" s="1534">
        <f>'Part II-Sources of Funds'!E13</f>
        <v>0</v>
      </c>
      <c r="F56" s="2505" t="s">
        <v>4559</v>
      </c>
      <c r="G56" s="2475"/>
      <c r="H56" s="2475" t="str">
        <f>'Part II-Sources of Funds'!H13</f>
        <v>Specify Other PBRA Source here</v>
      </c>
      <c r="I56" s="2475"/>
      <c r="J56" s="2475"/>
      <c r="K56" s="2475"/>
      <c r="L56" s="1534">
        <f>'Part II-Sources of Funds'!L13</f>
        <v>0</v>
      </c>
      <c r="M56" s="2475" t="s">
        <v>3980</v>
      </c>
      <c r="N56" s="2475"/>
      <c r="O56" s="2475"/>
      <c r="P56" s="2475"/>
      <c r="Q56" s="2475"/>
    </row>
    <row r="57" spans="1:17" ht="13.5">
      <c r="A57" s="2502"/>
      <c r="B57" s="1534">
        <f>'Part II-Sources of Funds'!B14</f>
        <v>0</v>
      </c>
      <c r="C57" s="2475" t="s">
        <v>2391</v>
      </c>
      <c r="D57" s="2475"/>
      <c r="E57" s="1534">
        <f>'Part II-Sources of Funds'!E14</f>
        <v>0</v>
      </c>
      <c r="F57" s="2505" t="s">
        <v>3216</v>
      </c>
      <c r="G57" s="2475"/>
      <c r="H57" s="2475"/>
      <c r="I57" s="2475"/>
      <c r="J57" s="2475"/>
      <c r="K57" s="2475"/>
      <c r="L57" s="1534">
        <f>'Part II-Sources of Funds'!L14</f>
        <v>0</v>
      </c>
      <c r="M57" s="2475" t="s">
        <v>4605</v>
      </c>
      <c r="N57" s="2475"/>
      <c r="O57" s="2475"/>
      <c r="P57" s="2475"/>
      <c r="Q57" s="2475"/>
    </row>
    <row r="58" spans="1:17" ht="13.5">
      <c r="A58" s="2502"/>
      <c r="B58" s="1534">
        <f>'Part II-Sources of Funds'!B15</f>
        <v>0</v>
      </c>
      <c r="C58" s="2475" t="s">
        <v>3134</v>
      </c>
      <c r="D58" s="2475"/>
      <c r="E58" s="1534">
        <f>'Part II-Sources of Funds'!E15</f>
        <v>0</v>
      </c>
      <c r="F58" s="2505" t="s">
        <v>3983</v>
      </c>
      <c r="G58" s="2475"/>
      <c r="H58" s="2475"/>
      <c r="I58" s="2475"/>
      <c r="J58" s="2475"/>
      <c r="K58" s="2475"/>
      <c r="L58" s="1534">
        <f>'Part II-Sources of Funds'!L15</f>
        <v>0</v>
      </c>
      <c r="M58" s="2528" t="s">
        <v>3984</v>
      </c>
      <c r="N58" s="2475"/>
      <c r="O58" s="2475"/>
      <c r="P58" s="2475"/>
      <c r="Q58" s="2475"/>
    </row>
    <row r="59" spans="1:17" ht="13.5">
      <c r="A59" s="2502"/>
      <c r="B59" s="1534">
        <f>'Part II-Sources of Funds'!B16</f>
        <v>0</v>
      </c>
      <c r="C59" s="2505" t="s">
        <v>1668</v>
      </c>
      <c r="D59" s="2475"/>
      <c r="E59" s="1534">
        <f>'Part II-Sources of Funds'!E16</f>
        <v>0</v>
      </c>
      <c r="F59" s="2505" t="s">
        <v>4397</v>
      </c>
      <c r="G59" s="2475"/>
      <c r="H59" s="2475"/>
      <c r="I59" s="2530">
        <f>'Part II-Sources of Funds'!I16</f>
        <v>0</v>
      </c>
      <c r="J59" s="358"/>
      <c r="K59" s="2475"/>
      <c r="L59" s="1534">
        <f>'Part II-Sources of Funds'!L16</f>
        <v>0</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Truist Community Capital, LLC</v>
      </c>
      <c r="I65" s="1729"/>
      <c r="J65" s="1729"/>
      <c r="K65" s="1729"/>
      <c r="L65" s="2531">
        <f>'Part II-Sources of Funds'!L22</f>
        <v>18500000</v>
      </c>
      <c r="M65" s="2531"/>
      <c r="N65" s="2532">
        <f>'Part II-Sources of Funds'!N22</f>
        <v>8.0799999999999997E-2</v>
      </c>
      <c r="O65" s="2532"/>
      <c r="P65" s="2533">
        <f>'Part II-Sources of Funds'!P22</f>
        <v>32</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Truist Communtiy Capital, LLC</v>
      </c>
      <c r="I71" s="1729"/>
      <c r="J71" s="1729"/>
      <c r="K71" s="1729"/>
      <c r="L71" s="2531">
        <f>'Part II-Sources of Funds'!L28</f>
        <v>1202729</v>
      </c>
      <c r="M71" s="2531"/>
      <c r="N71" s="1729"/>
      <c r="O71" s="2475"/>
      <c r="P71" s="2475"/>
      <c r="Q71" s="1729"/>
    </row>
    <row r="72" spans="1:17" ht="13.5">
      <c r="A72" s="1729"/>
      <c r="B72" s="1729" t="s">
        <v>746</v>
      </c>
      <c r="C72" s="1729"/>
      <c r="D72" s="1729"/>
      <c r="E72" s="1729"/>
      <c r="F72" s="2475"/>
      <c r="G72" s="2475"/>
      <c r="H72" s="1729" t="str">
        <f>'Part II-Sources of Funds'!H29</f>
        <v>Truist Community Capital, LLC</v>
      </c>
      <c r="I72" s="1729"/>
      <c r="J72" s="1729"/>
      <c r="K72" s="1729"/>
      <c r="L72" s="2531">
        <f>'Part II-Sources of Funds'!L29</f>
        <v>754650</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20457379</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19932948.931046732</v>
      </c>
      <c r="M77" s="2534"/>
      <c r="N77" s="377"/>
      <c r="O77" s="2475"/>
      <c r="P77" s="2475"/>
      <c r="Q77" s="2475"/>
    </row>
    <row r="78" spans="1:17" ht="13.5">
      <c r="A78" s="1729"/>
      <c r="B78" s="2508" t="s">
        <v>1997</v>
      </c>
      <c r="C78" s="1729"/>
      <c r="D78" s="1729"/>
      <c r="E78" s="1729"/>
      <c r="F78" s="1729"/>
      <c r="G78" s="1729"/>
      <c r="H78" s="1729"/>
      <c r="I78" s="1729"/>
      <c r="J78" s="2475"/>
      <c r="K78" s="2475"/>
      <c r="L78" s="2535">
        <f>L76-L77</f>
        <v>524430.06895326823</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Specialty Finance Group</v>
      </c>
      <c r="F83" s="1729"/>
      <c r="G83" s="1729"/>
      <c r="H83" s="1729"/>
      <c r="I83" s="2536">
        <f>'Part II-Sources of Funds'!I40</f>
        <v>2850000</v>
      </c>
      <c r="J83" s="1729"/>
      <c r="K83" s="2537">
        <f>'Part II-Sources of Funds'!K40</f>
        <v>7.4200000000000002E-2</v>
      </c>
      <c r="L83" s="1534">
        <f>'Part II-Sources of Funds'!L40</f>
        <v>16</v>
      </c>
      <c r="M83" s="1534">
        <f>'Part II-Sources of Funds'!M40</f>
        <v>40</v>
      </c>
      <c r="N83" s="1729" t="str">
        <f>'Part II-Sources of Funds'!N40</f>
        <v>Amortizing</v>
      </c>
      <c r="O83" s="1729"/>
      <c r="P83" s="2538">
        <f>'Part II-Sources of Funds'!P40</f>
        <v>223040.9030825861</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1.502377221143494E-2</v>
      </c>
      <c r="E88" s="1729" t="str">
        <f>'Part II-Sources of Funds'!E45</f>
        <v>Zimmerman Properties SE, LLC</v>
      </c>
      <c r="F88" s="1729"/>
      <c r="G88" s="1729"/>
      <c r="H88" s="1729"/>
      <c r="I88" s="2536">
        <f>'Part II-Sources of Funds'!I45</f>
        <v>27763.93104673177</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3318</v>
      </c>
      <c r="C90" s="1729"/>
      <c r="D90" s="2475"/>
      <c r="E90" s="2475" t="s">
        <v>3276</v>
      </c>
      <c r="F90" s="2543">
        <f>'Part II-Sources of Funds'!F47</f>
        <v>1291103.1013791848</v>
      </c>
      <c r="G90" s="2475"/>
      <c r="H90" s="2544" t="s">
        <v>3317</v>
      </c>
      <c r="I90" s="2543">
        <f>'Part II-Sources of Funds'!I47</f>
        <v>27763.93104673177</v>
      </c>
      <c r="J90" s="2475"/>
      <c r="K90" s="2544" t="s">
        <v>3319</v>
      </c>
      <c r="L90" s="2545">
        <f>'Part II-Sources of Funds'!L47</f>
        <v>2.1504038691467574E-2</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Truist Community Captial, LLC</v>
      </c>
      <c r="F94" s="1729"/>
      <c r="G94" s="1729"/>
      <c r="H94" s="1729"/>
      <c r="I94" s="2536">
        <f>'Part II-Sources of Funds'!I51</f>
        <v>12027285</v>
      </c>
      <c r="J94" s="1729"/>
      <c r="K94" s="2475"/>
      <c r="L94" s="2549">
        <f>'Part III-A-Uses of Funds'!$J$191*10*'Part III-A-Uses of Funds'!$N$182</f>
        <v>12150000</v>
      </c>
      <c r="M94" s="2549"/>
      <c r="N94" s="2550">
        <f>I94-L94</f>
        <v>-122715</v>
      </c>
      <c r="O94" s="2550"/>
      <c r="P94" s="2551">
        <f>I94/I104</f>
        <v>0.53569956518092521</v>
      </c>
      <c r="Q94" s="1729"/>
    </row>
    <row r="95" spans="1:17" ht="13.5">
      <c r="A95" s="1729"/>
      <c r="B95" s="1729" t="s">
        <v>746</v>
      </c>
      <c r="C95" s="1729"/>
      <c r="D95" s="1729"/>
      <c r="E95" s="1729" t="str">
        <f>'Part II-Sources of Funds'!E52</f>
        <v>Truist Community Capital, LLC</v>
      </c>
      <c r="F95" s="1729"/>
      <c r="G95" s="1729"/>
      <c r="H95" s="1729"/>
      <c r="I95" s="2536">
        <f>'Part II-Sources of Funds'!I52</f>
        <v>7546500</v>
      </c>
      <c r="J95" s="1729"/>
      <c r="K95" s="2475"/>
      <c r="L95" s="2549">
        <f>'Part III-A-Uses of Funds'!$J$191*10*'Part III-A-Uses of Funds'!$Q$182</f>
        <v>7425000.0000000009</v>
      </c>
      <c r="M95" s="2549"/>
      <c r="N95" s="2550">
        <f>I95-L95</f>
        <v>121499.99999999907</v>
      </c>
      <c r="O95" s="2550"/>
      <c r="P95" s="2551">
        <f>I95/I104</f>
        <v>0.33612380255709012</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0.87182336773801539</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22451548.931046732</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22451548.931046732</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to the end of the initial 15 year compliance period</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Flats at Lake View II,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4500</v>
      </c>
      <c r="H119" s="2531"/>
      <c r="I119" s="1729"/>
      <c r="J119" s="2531">
        <f>'Part III-A-Uses of Funds'!J9</f>
        <v>4500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9000</v>
      </c>
      <c r="H120" s="2531"/>
      <c r="I120" s="1729"/>
      <c r="J120" s="2531">
        <f>'Part III-A-Uses of Funds'!J10</f>
        <v>9000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20000</v>
      </c>
      <c r="H121" s="2531"/>
      <c r="I121" s="1729"/>
      <c r="J121" s="2531">
        <f>'Part III-A-Uses of Funds'!J11</f>
        <v>20000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10000</v>
      </c>
      <c r="H122" s="2531"/>
      <c r="I122" s="1729"/>
      <c r="J122" s="2531">
        <f>'Part III-A-Uses of Funds'!J12</f>
        <v>10000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10000</v>
      </c>
      <c r="H123" s="2531"/>
      <c r="I123" s="1729"/>
      <c r="J123" s="2531">
        <f>'Part III-A-Uses of Funds'!J13</f>
        <v>10000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53500</v>
      </c>
      <c r="H128" s="2531"/>
      <c r="I128" s="1729"/>
      <c r="J128" s="2531">
        <f>SUM(J119:J127)</f>
        <v>53500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157894.73684210525</v>
      </c>
      <c r="G130" s="2531">
        <f>'Part III-A-Uses of Funds'!G20</f>
        <v>750000</v>
      </c>
      <c r="H130" s="2531"/>
      <c r="I130" s="1729"/>
      <c r="J130" s="2520"/>
      <c r="K130" s="2531"/>
      <c r="L130" s="2520"/>
      <c r="M130" s="2520"/>
      <c r="N130" s="2531"/>
      <c r="O130" s="1729"/>
      <c r="P130" s="2520"/>
      <c r="Q130" s="2531"/>
      <c r="R130" s="1729"/>
      <c r="S130" s="2531">
        <f>'Part III-A-Uses of Funds'!S20</f>
        <v>750000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750000</v>
      </c>
      <c r="H134" s="2531"/>
      <c r="I134" s="1729"/>
      <c r="J134" s="2520"/>
      <c r="K134" s="2531"/>
      <c r="L134" s="2520"/>
      <c r="M134" s="2531">
        <f>SUM(M132:M133)</f>
        <v>0</v>
      </c>
      <c r="N134" s="2531"/>
      <c r="O134" s="1729"/>
      <c r="P134" s="2520"/>
      <c r="Q134" s="2531"/>
      <c r="R134" s="1729"/>
      <c r="S134" s="2531">
        <f>SUM(S130:S133)</f>
        <v>750000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591157.89473684214</v>
      </c>
      <c r="G136" s="2531">
        <f>'Part III-A-Uses of Funds'!G26</f>
        <v>2808000</v>
      </c>
      <c r="H136" s="2531"/>
      <c r="I136" s="1729"/>
      <c r="J136" s="2531">
        <f>'Part III-A-Uses of Funds'!J26</f>
        <v>2808000</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72000</v>
      </c>
      <c r="H137" s="2531"/>
      <c r="I137" s="1729"/>
      <c r="J137" s="2531">
        <f>'Part III-A-Uses of Funds'!J27</f>
        <v>0</v>
      </c>
      <c r="K137" s="2531"/>
      <c r="L137" s="2559"/>
      <c r="M137" s="2531"/>
      <c r="N137" s="2531"/>
      <c r="O137" s="1729"/>
      <c r="P137" s="2531"/>
      <c r="Q137" s="2531"/>
      <c r="R137" s="1729"/>
      <c r="S137" s="2531">
        <f>'Part III-A-Uses of Funds'!S27</f>
        <v>72000</v>
      </c>
      <c r="T137" s="2531"/>
    </row>
    <row r="138" spans="1:20">
      <c r="A138" s="1729"/>
      <c r="B138" s="1729"/>
      <c r="C138" s="1729"/>
      <c r="D138" s="1729"/>
      <c r="E138" s="1729"/>
      <c r="F138" s="2555" t="s">
        <v>184</v>
      </c>
      <c r="G138" s="2531">
        <f>SUM(G136:G137)</f>
        <v>2880000</v>
      </c>
      <c r="H138" s="2531"/>
      <c r="I138" s="1729"/>
      <c r="J138" s="2531">
        <f>SUM(J136:J137)</f>
        <v>2808000</v>
      </c>
      <c r="K138" s="2531"/>
      <c r="L138" s="2520"/>
      <c r="M138" s="2531">
        <f>M136</f>
        <v>0</v>
      </c>
      <c r="N138" s="2531"/>
      <c r="O138" s="1729"/>
      <c r="P138" s="2531">
        <f>P136</f>
        <v>0</v>
      </c>
      <c r="Q138" s="2531"/>
      <c r="R138" s="1729"/>
      <c r="S138" s="2531">
        <f>SUM(S136:S137)</f>
        <v>72000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10440000</v>
      </c>
      <c r="H140" s="2531"/>
      <c r="I140" s="1729"/>
      <c r="J140" s="2531">
        <f>'Part III-A-Uses of Funds'!J30</f>
        <v>10440000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10440000</v>
      </c>
      <c r="H146" s="2531"/>
      <c r="I146" s="1729"/>
      <c r="J146" s="2531">
        <f>SUM(J140:J145)</f>
        <v>10440000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799200</v>
      </c>
      <c r="F148" s="2564">
        <f>IF(($G$28+$G$36)=0,0,G148/($G$28+$G$36))</f>
        <v>0</v>
      </c>
      <c r="G148" s="2531">
        <f>'Part III-A-Uses of Funds'!G38</f>
        <v>799200</v>
      </c>
      <c r="H148" s="2531"/>
      <c r="I148" s="377"/>
      <c r="J148" s="2531">
        <f>'Part III-A-Uses of Funds'!J38</f>
        <v>794880</v>
      </c>
      <c r="K148" s="2531"/>
      <c r="L148" s="2520"/>
      <c r="M148" s="2531">
        <f>'Part III-A-Uses of Funds'!M38</f>
        <v>0</v>
      </c>
      <c r="N148" s="2531"/>
      <c r="O148" s="1729"/>
      <c r="P148" s="2531">
        <f>'Part III-A-Uses of Funds'!P38</f>
        <v>0</v>
      </c>
      <c r="Q148" s="2531"/>
      <c r="R148" s="1729"/>
      <c r="S148" s="2531">
        <f>'Part III-A-Uses of Funds'!S38</f>
        <v>4320</v>
      </c>
      <c r="T148" s="2531"/>
    </row>
    <row r="149" spans="1:20" ht="13.5">
      <c r="A149" s="1729"/>
      <c r="B149" s="1729" t="s">
        <v>2468</v>
      </c>
      <c r="C149" s="1729"/>
      <c r="D149" s="2564">
        <f>'DCA Underwriting Assumptions'!$R$53</f>
        <v>0.02</v>
      </c>
      <c r="E149" s="2565">
        <f>ROUNDDOWN(D149*(G138+G146),0)</f>
        <v>266400</v>
      </c>
      <c r="F149" s="2564">
        <f>IF(($G$28+$G$36)=0,0,G149/($G$28+$G$36))</f>
        <v>0</v>
      </c>
      <c r="G149" s="2531">
        <f>'Part III-A-Uses of Funds'!G39</f>
        <v>266400</v>
      </c>
      <c r="H149" s="2531"/>
      <c r="I149" s="377"/>
      <c r="J149" s="2531">
        <f>'Part III-A-Uses of Funds'!J39</f>
        <v>264960</v>
      </c>
      <c r="K149" s="2531"/>
      <c r="L149" s="2520"/>
      <c r="M149" s="2531">
        <f>'Part III-A-Uses of Funds'!M39</f>
        <v>0</v>
      </c>
      <c r="N149" s="2531"/>
      <c r="O149" s="1729"/>
      <c r="P149" s="2531">
        <f>'Part III-A-Uses of Funds'!P39</f>
        <v>0</v>
      </c>
      <c r="Q149" s="2531"/>
      <c r="R149" s="1729"/>
      <c r="S149" s="2531">
        <f>'Part III-A-Uses of Funds'!S39</f>
        <v>1440</v>
      </c>
      <c r="T149" s="2531"/>
    </row>
    <row r="150" spans="1:20" ht="13.5">
      <c r="A150" s="1729"/>
      <c r="B150" s="1729" t="s">
        <v>2469</v>
      </c>
      <c r="C150" s="1729"/>
      <c r="D150" s="2564">
        <f>'DCA Underwriting Assumptions'!$R$54</f>
        <v>0.06</v>
      </c>
      <c r="E150" s="2565">
        <f>ROUNDDOWN(D150*(G138+G146),0)</f>
        <v>799200</v>
      </c>
      <c r="F150" s="2564">
        <f>IF(($G$28+$G$36)=0,0,G150/($G$28+$G$36))</f>
        <v>0</v>
      </c>
      <c r="G150" s="2531">
        <f>'Part III-A-Uses of Funds'!G40</f>
        <v>799200</v>
      </c>
      <c r="H150" s="2531"/>
      <c r="I150" s="377"/>
      <c r="J150" s="2531">
        <f>'Part III-A-Uses of Funds'!J40</f>
        <v>794880</v>
      </c>
      <c r="K150" s="2531"/>
      <c r="L150" s="2520"/>
      <c r="M150" s="2531">
        <f>'Part III-A-Uses of Funds'!M40</f>
        <v>0</v>
      </c>
      <c r="N150" s="2531"/>
      <c r="O150" s="1729"/>
      <c r="P150" s="2531">
        <f>'Part III-A-Uses of Funds'!P40</f>
        <v>0</v>
      </c>
      <c r="Q150" s="2531"/>
      <c r="R150" s="1729"/>
      <c r="S150" s="2531">
        <f>'Part III-A-Uses of Funds'!S40</f>
        <v>4320</v>
      </c>
      <c r="T150" s="2531"/>
    </row>
    <row r="151" spans="1:20" ht="13.5">
      <c r="A151" s="1729"/>
      <c r="B151" s="2507" t="s">
        <v>3141</v>
      </c>
      <c r="C151" s="1729"/>
      <c r="D151" s="2562">
        <f>SUM(D148:D150)</f>
        <v>0.14000000000000001</v>
      </c>
      <c r="E151" s="2566">
        <f>SUM(E148:E150)</f>
        <v>1864800</v>
      </c>
      <c r="F151" s="2555" t="s">
        <v>184</v>
      </c>
      <c r="G151" s="2531">
        <f>SUM(G148:G150)</f>
        <v>1864800</v>
      </c>
      <c r="H151" s="2531"/>
      <c r="I151" s="1729"/>
      <c r="J151" s="2531">
        <f>SUM(J148:J150)</f>
        <v>1854720</v>
      </c>
      <c r="K151" s="2531"/>
      <c r="L151" s="2520"/>
      <c r="M151" s="2531">
        <f>SUM(M148:M150)</f>
        <v>0</v>
      </c>
      <c r="N151" s="2531"/>
      <c r="O151" s="1729"/>
      <c r="P151" s="2531">
        <f>SUM(P148:P150)</f>
        <v>0</v>
      </c>
      <c r="Q151" s="2531"/>
      <c r="R151" s="1729"/>
      <c r="S151" s="2531">
        <f>SUM(S148:S150)</f>
        <v>10080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15184800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5059</v>
      </c>
      <c r="C158" s="2570"/>
      <c r="D158" s="1729"/>
      <c r="E158" s="2501" t="s">
        <v>2471</v>
      </c>
      <c r="F158" s="2571">
        <f>C159/'Part V-Revenues &amp; Expenses'!$P$65</f>
        <v>210900</v>
      </c>
      <c r="G158" s="2572" t="s">
        <v>5060</v>
      </c>
      <c r="H158" s="1729"/>
      <c r="I158" s="1729"/>
      <c r="J158" s="2573">
        <f>C159/'Part V-Revenues &amp; Expenses'!$P$67</f>
        <v>210900</v>
      </c>
      <c r="K158" s="2573"/>
      <c r="L158" s="1729"/>
      <c r="M158" s="2574" t="s">
        <v>4373</v>
      </c>
      <c r="N158" s="2574"/>
      <c r="O158" s="1729"/>
      <c r="P158" s="2573">
        <f>C159/'Part V-Revenues &amp; Expenses'!$K$179</f>
        <v>176.35514018691586</v>
      </c>
      <c r="Q158" s="2573"/>
      <c r="R158" s="1729"/>
      <c r="S158" s="2575" t="s">
        <v>4375</v>
      </c>
      <c r="T158" s="2575"/>
    </row>
    <row r="159" spans="1:20" ht="13.5">
      <c r="A159" s="1729"/>
      <c r="B159" s="2576" t="s">
        <v>4386</v>
      </c>
      <c r="C159" s="2577">
        <f>G138+G146+G151+G156</f>
        <v>15184800</v>
      </c>
      <c r="D159" s="1729"/>
      <c r="E159" s="2501"/>
      <c r="F159" s="2571">
        <f>C159/'Part V-Revenues &amp; Expenses'!$P$170</f>
        <v>207.47663551401868</v>
      </c>
      <c r="G159" s="2575" t="s">
        <v>5061</v>
      </c>
      <c r="H159" s="1729"/>
      <c r="I159" s="1729"/>
      <c r="J159" s="2573">
        <f>C159/'Part V-Revenues &amp; Expenses'!$P$172</f>
        <v>207.47663551401868</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3323</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3322</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759240</v>
      </c>
      <c r="F165" s="2539">
        <f>G165/C159</f>
        <v>0.05</v>
      </c>
      <c r="G165" s="2531">
        <f>'Part III-A-Uses of Funds'!G55</f>
        <v>759240</v>
      </c>
      <c r="H165" s="2531"/>
      <c r="I165" s="1729"/>
      <c r="J165" s="2531">
        <f>'Part III-A-Uses of Funds'!J55</f>
        <v>755136</v>
      </c>
      <c r="K165" s="2531"/>
      <c r="L165" s="2520"/>
      <c r="M165" s="2531">
        <f>'Part III-A-Uses of Funds'!M55</f>
        <v>0</v>
      </c>
      <c r="N165" s="2531"/>
      <c r="O165" s="1729"/>
      <c r="P165" s="2531">
        <f>'Part III-A-Uses of Funds'!P55</f>
        <v>0</v>
      </c>
      <c r="Q165" s="2531"/>
      <c r="R165" s="1729"/>
      <c r="S165" s="2531">
        <f>'Part III-A-Uses of Funds'!S55</f>
        <v>4104</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4195</v>
      </c>
      <c r="C167" s="2570"/>
      <c r="D167" s="1729"/>
      <c r="E167" s="2501" t="s">
        <v>4196</v>
      </c>
      <c r="F167" s="2571">
        <f>B168/'Part V-Revenues &amp; Expenses'!$P$65</f>
        <v>221445</v>
      </c>
      <c r="G167" s="2572" t="s">
        <v>5060</v>
      </c>
      <c r="H167" s="1729"/>
      <c r="I167" s="1729"/>
      <c r="J167" s="2573">
        <f>B168/'Part V-Revenues &amp; Expenses'!$P$67</f>
        <v>221445</v>
      </c>
      <c r="K167" s="2573"/>
      <c r="L167" s="1729"/>
      <c r="M167" s="2574" t="s">
        <v>4373</v>
      </c>
      <c r="N167" s="2574"/>
      <c r="O167" s="1729"/>
      <c r="P167" s="2573">
        <f>B168/'Part V-Revenues &amp; Expenses'!$K$179</f>
        <v>185.17289719626166</v>
      </c>
      <c r="Q167" s="2573"/>
      <c r="R167" s="1729"/>
      <c r="S167" s="2575" t="s">
        <v>4375</v>
      </c>
      <c r="T167" s="2575"/>
    </row>
    <row r="168" spans="1:20">
      <c r="A168" s="1729"/>
      <c r="B168" s="2577">
        <f>C159+G165</f>
        <v>15944040</v>
      </c>
      <c r="C168" s="2577"/>
      <c r="D168" s="1729"/>
      <c r="E168" s="2501"/>
      <c r="F168" s="2571">
        <f>B168/'Part V-Revenues &amp; Expenses'!$P$170</f>
        <v>217.85046728971963</v>
      </c>
      <c r="G168" s="2575" t="s">
        <v>5061</v>
      </c>
      <c r="H168" s="1729"/>
      <c r="I168" s="1729"/>
      <c r="J168" s="2573">
        <f>B168/'Part V-Revenues &amp; Expenses'!$P$172</f>
        <v>217.85046728971963</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223300</v>
      </c>
      <c r="H173" s="2531"/>
      <c r="I173" s="1729"/>
      <c r="J173" s="2531">
        <f>'Part III-A-Uses of Funds'!J63</f>
        <v>223300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1628157.9310467318</v>
      </c>
      <c r="H174" s="2531"/>
      <c r="I174" s="1729"/>
      <c r="J174" s="2531">
        <f>'Part III-A-Uses of Funds'!J64</f>
        <v>1074498.883558159</v>
      </c>
      <c r="K174" s="2531"/>
      <c r="L174" s="2520"/>
      <c r="M174" s="2531">
        <f>'Part III-A-Uses of Funds'!M64</f>
        <v>0</v>
      </c>
      <c r="N174" s="2531"/>
      <c r="O174" s="1729"/>
      <c r="P174" s="2531">
        <f>'Part III-A-Uses of Funds'!P64</f>
        <v>0</v>
      </c>
      <c r="Q174" s="2531"/>
      <c r="R174" s="1729"/>
      <c r="S174" s="2531">
        <f>'Part III-A-Uses of Funds'!S64</f>
        <v>553659.04748857277</v>
      </c>
      <c r="T174" s="2531"/>
    </row>
    <row r="175" spans="1:20">
      <c r="A175" s="1729"/>
      <c r="B175" s="1729" t="s">
        <v>2162</v>
      </c>
      <c r="C175" s="1729"/>
      <c r="D175" s="1729"/>
      <c r="E175" s="1729"/>
      <c r="F175" s="1729"/>
      <c r="G175" s="2531">
        <f>'Part III-A-Uses of Funds'!G65</f>
        <v>0</v>
      </c>
      <c r="H175" s="2531"/>
      <c r="I175" s="1729"/>
      <c r="J175" s="2531">
        <f>'Part III-A-Uses of Funds'!J65</f>
        <v>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36000</v>
      </c>
      <c r="H176" s="2531"/>
      <c r="I176" s="1729"/>
      <c r="J176" s="2531">
        <f>'Part III-A-Uses of Funds'!J66</f>
        <v>36000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10000</v>
      </c>
      <c r="H177" s="2531"/>
      <c r="I177" s="1729"/>
      <c r="J177" s="2531">
        <f>'Part III-A-Uses of Funds'!J67</f>
        <v>10000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0</v>
      </c>
      <c r="H178" s="2531"/>
      <c r="I178" s="1729"/>
      <c r="J178" s="2531">
        <f>'Part III-A-Uses of Funds'!J68</f>
        <v>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56000</v>
      </c>
      <c r="H179" s="2531"/>
      <c r="I179" s="1729"/>
      <c r="J179" s="2531">
        <f>'Part III-A-Uses of Funds'!J69</f>
        <v>46000</v>
      </c>
      <c r="K179" s="2531"/>
      <c r="L179" s="2520"/>
      <c r="M179" s="2531">
        <f>'Part III-A-Uses of Funds'!M69</f>
        <v>0</v>
      </c>
      <c r="N179" s="2531"/>
      <c r="O179" s="1729"/>
      <c r="P179" s="2531">
        <f>'Part III-A-Uses of Funds'!P69</f>
        <v>0</v>
      </c>
      <c r="Q179" s="2531"/>
      <c r="R179" s="1729"/>
      <c r="S179" s="2531">
        <f>'Part III-A-Uses of Funds'!S69</f>
        <v>10000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1953457.9310467318</v>
      </c>
      <c r="H183" s="2531"/>
      <c r="I183" s="1729"/>
      <c r="J183" s="2531">
        <f>SUM(J171:J182)</f>
        <v>1389798.883558159</v>
      </c>
      <c r="K183" s="2531"/>
      <c r="L183" s="2520"/>
      <c r="M183" s="2531">
        <f>SUM(M171:M182)</f>
        <v>0</v>
      </c>
      <c r="N183" s="2531"/>
      <c r="O183" s="1729"/>
      <c r="P183" s="2531">
        <f>SUM(P171:P182)</f>
        <v>0</v>
      </c>
      <c r="Q183" s="2531"/>
      <c r="R183" s="1729"/>
      <c r="S183" s="2531">
        <f>SUM(S171:S182)</f>
        <v>563659.04748857277</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288000</v>
      </c>
      <c r="H185" s="2531"/>
      <c r="I185" s="1729"/>
      <c r="J185" s="2531">
        <f>'Part III-A-Uses of Funds'!J75</f>
        <v>288000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126000</v>
      </c>
      <c r="H186" s="2531"/>
      <c r="I186" s="1729"/>
      <c r="J186" s="2531">
        <f>'Part III-A-Uses of Funds'!J76</f>
        <v>126000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2940</v>
      </c>
      <c r="H188" s="2531"/>
      <c r="I188" s="1729"/>
      <c r="J188" s="2531">
        <f>'Part III-A-Uses of Funds'!J78</f>
        <v>2940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12400</v>
      </c>
      <c r="H189" s="2531"/>
      <c r="I189" s="1729"/>
      <c r="J189" s="2531">
        <f>'Part III-A-Uses of Funds'!J79</f>
        <v>12400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0</v>
      </c>
      <c r="H190" s="2531"/>
      <c r="I190" s="1729"/>
      <c r="J190" s="2531">
        <f>'Part III-A-Uses of Funds'!J80</f>
        <v>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105500</v>
      </c>
      <c r="H191" s="2531"/>
      <c r="I191" s="1729"/>
      <c r="J191" s="2531">
        <f>'Part III-A-Uses of Funds'!J81</f>
        <v>105500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152000</v>
      </c>
      <c r="H192" s="2531"/>
      <c r="I192" s="1729"/>
      <c r="J192" s="2531">
        <f>'Part III-A-Uses of Funds'!J82</f>
        <v>0</v>
      </c>
      <c r="K192" s="2531"/>
      <c r="L192" s="2520"/>
      <c r="M192" s="2531">
        <f>'Part III-A-Uses of Funds'!M82</f>
        <v>0</v>
      </c>
      <c r="N192" s="2531"/>
      <c r="O192" s="1729"/>
      <c r="P192" s="2531">
        <f>'Part III-A-Uses of Funds'!P82</f>
        <v>0</v>
      </c>
      <c r="Q192" s="2531"/>
      <c r="R192" s="1729"/>
      <c r="S192" s="2531">
        <f>'Part III-A-Uses of Funds'!S82</f>
        <v>152000</v>
      </c>
      <c r="T192" s="2531"/>
    </row>
    <row r="193" spans="1:20">
      <c r="A193" s="1729"/>
      <c r="B193" s="1729" t="s">
        <v>1894</v>
      </c>
      <c r="C193" s="1729"/>
      <c r="D193" s="1729"/>
      <c r="E193" s="1729"/>
      <c r="F193" s="1729"/>
      <c r="G193" s="2531">
        <f>'Part III-A-Uses of Funds'!G83</f>
        <v>22500</v>
      </c>
      <c r="H193" s="2531"/>
      <c r="I193" s="1729"/>
      <c r="J193" s="2531">
        <f>'Part III-A-Uses of Funds'!J83</f>
        <v>22500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20000</v>
      </c>
      <c r="H194" s="2531"/>
      <c r="I194" s="1729"/>
      <c r="J194" s="2531">
        <f>'Part III-A-Uses of Funds'!J84</f>
        <v>20000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4176</v>
      </c>
      <c r="C195" s="2475" t="str">
        <f>'Part III-A-Uses of Funds'!C85</f>
        <v>Owner Paid Design Fees</v>
      </c>
      <c r="D195" s="2475"/>
      <c r="E195" s="2475"/>
      <c r="F195" s="2475"/>
      <c r="G195" s="2531">
        <f>'Part III-A-Uses of Funds'!G85</f>
        <v>10000</v>
      </c>
      <c r="H195" s="2531"/>
      <c r="I195" s="1729"/>
      <c r="J195" s="2531">
        <f>'Part III-A-Uses of Funds'!J85</f>
        <v>10000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759340</v>
      </c>
      <c r="H196" s="2531"/>
      <c r="I196" s="1729"/>
      <c r="J196" s="2531">
        <f>SUM(J185:J195)</f>
        <v>607340</v>
      </c>
      <c r="K196" s="2531"/>
      <c r="L196" s="2520"/>
      <c r="M196" s="2531">
        <f>SUM(M185:M195)</f>
        <v>0</v>
      </c>
      <c r="N196" s="2531"/>
      <c r="O196" s="1729"/>
      <c r="P196" s="2531">
        <f>SUM(P185:P195)</f>
        <v>0</v>
      </c>
      <c r="Q196" s="2531"/>
      <c r="R196" s="1729"/>
      <c r="S196" s="2531">
        <f>SUM(S185:S195)</f>
        <v>152000</v>
      </c>
      <c r="T196" s="2531"/>
    </row>
    <row r="197" spans="1:20">
      <c r="A197" s="1729"/>
      <c r="B197" s="2501" t="s">
        <v>1191</v>
      </c>
      <c r="C197" s="1729"/>
      <c r="D197" s="2584" t="s">
        <v>3145</v>
      </c>
      <c r="E197" s="2585">
        <f>G202/'Part V-Revenues &amp; Expenses'!$P$67</f>
        <v>2507.0972222222222</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108511</v>
      </c>
      <c r="H198" s="2531"/>
      <c r="I198" s="1729"/>
      <c r="J198" s="2531">
        <f>'Part III-A-Uses of Funds'!J88</f>
        <v>108511</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50000</v>
      </c>
      <c r="H200" s="2531"/>
      <c r="I200" s="377"/>
      <c r="J200" s="2531">
        <f>'Part III-A-Uses of Funds'!J90</f>
        <v>50000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22000</v>
      </c>
      <c r="H201" s="2531"/>
      <c r="I201" s="377"/>
      <c r="J201" s="2531">
        <f>'Part III-A-Uses of Funds'!J91</f>
        <v>22000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180511</v>
      </c>
      <c r="H202" s="2531"/>
      <c r="I202" s="1729"/>
      <c r="J202" s="2531">
        <f>SUM(J198:J201)</f>
        <v>180511</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116000</v>
      </c>
      <c r="H207" s="2531"/>
      <c r="I207" s="1729"/>
      <c r="J207" s="2531"/>
      <c r="K207" s="2531"/>
      <c r="L207" s="2520"/>
      <c r="M207" s="2531"/>
      <c r="N207" s="2531"/>
      <c r="O207" s="1729"/>
      <c r="P207" s="2531"/>
      <c r="Q207" s="2531"/>
      <c r="R207" s="1729"/>
      <c r="S207" s="2531">
        <f>'Part III-A-Uses of Funds'!S97</f>
        <v>116000</v>
      </c>
      <c r="T207" s="2531"/>
    </row>
    <row r="208" spans="1:20">
      <c r="A208" s="1729"/>
      <c r="B208" s="1729" t="s">
        <v>1197</v>
      </c>
      <c r="C208" s="1729"/>
      <c r="D208" s="1729"/>
      <c r="E208" s="1729"/>
      <c r="F208" s="1729"/>
      <c r="G208" s="2531">
        <f>'Part III-A-Uses of Funds'!G98</f>
        <v>0</v>
      </c>
      <c r="H208" s="2531"/>
      <c r="I208" s="1729"/>
      <c r="J208" s="2531"/>
      <c r="K208" s="2531"/>
      <c r="L208" s="2520"/>
      <c r="M208" s="2531"/>
      <c r="N208" s="2531"/>
      <c r="O208" s="1729"/>
      <c r="P208" s="2531"/>
      <c r="Q208" s="2531"/>
      <c r="R208" s="1729"/>
      <c r="S208" s="2531">
        <f>'Part III-A-Uses of Funds'!S98</f>
        <v>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116000</v>
      </c>
      <c r="H213" s="2531"/>
      <c r="I213" s="1729"/>
      <c r="J213" s="2531"/>
      <c r="K213" s="2531"/>
      <c r="L213" s="2520"/>
      <c r="M213" s="2531"/>
      <c r="N213" s="2531"/>
      <c r="O213" s="1729"/>
      <c r="P213" s="2531"/>
      <c r="Q213" s="2531"/>
      <c r="R213" s="1729"/>
      <c r="S213" s="2531">
        <f>SUM(S207:S212)</f>
        <v>116000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5011</v>
      </c>
      <c r="C217" s="1729"/>
      <c r="D217" s="1729"/>
      <c r="E217" s="1729"/>
      <c r="F217" s="1729"/>
      <c r="G217" s="2531">
        <f>'Part III-A-Uses of Funds'!G107</f>
        <v>3500</v>
      </c>
      <c r="H217" s="2531"/>
      <c r="I217" s="1729"/>
      <c r="J217" s="2520"/>
      <c r="K217" s="2520"/>
      <c r="L217" s="2588"/>
      <c r="M217" s="2520"/>
      <c r="N217" s="2520"/>
      <c r="O217" s="1729"/>
      <c r="P217" s="2520"/>
      <c r="Q217" s="2520"/>
      <c r="R217" s="1729"/>
      <c r="S217" s="2531">
        <f>'Part III-A-Uses of Funds'!S107</f>
        <v>3500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57600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57600</v>
      </c>
      <c r="T219" s="2531"/>
    </row>
    <row r="220" spans="1:20">
      <c r="A220" s="1729"/>
      <c r="B220" s="1729" t="s">
        <v>3362</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187100</v>
      </c>
      <c r="H224" s="2531"/>
      <c r="I224" s="1729"/>
      <c r="J224" s="2520"/>
      <c r="K224" s="2520"/>
      <c r="L224" s="2520"/>
      <c r="M224" s="2520"/>
      <c r="N224" s="2520"/>
      <c r="O224" s="1729"/>
      <c r="P224" s="2520"/>
      <c r="Q224" s="2520"/>
      <c r="R224" s="1729"/>
      <c r="S224" s="2531">
        <f>SUM(S215:S223)</f>
        <v>187100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10000</v>
      </c>
      <c r="H226" s="2531"/>
      <c r="I226" s="1729"/>
      <c r="J226" s="2531"/>
      <c r="K226" s="2531"/>
      <c r="L226" s="2520"/>
      <c r="M226" s="2531"/>
      <c r="N226" s="2531"/>
      <c r="O226" s="1729"/>
      <c r="P226" s="2531"/>
      <c r="Q226" s="2531"/>
      <c r="R226" s="1729"/>
      <c r="S226" s="2531">
        <f>'Part III-A-Uses of Funds'!S116</f>
        <v>10000</v>
      </c>
      <c r="T226" s="2531"/>
    </row>
    <row r="227" spans="1:20">
      <c r="A227" s="1729"/>
      <c r="B227" s="1729" t="s">
        <v>268</v>
      </c>
      <c r="C227" s="1729"/>
      <c r="D227" s="1729"/>
      <c r="E227" s="1729"/>
      <c r="F227" s="1729"/>
      <c r="G227" s="2531">
        <f>'Part III-A-Uses of Funds'!G117</f>
        <v>10000</v>
      </c>
      <c r="H227" s="2531"/>
      <c r="I227" s="1729"/>
      <c r="J227" s="2531"/>
      <c r="K227" s="2531"/>
      <c r="L227" s="2520"/>
      <c r="M227" s="2531"/>
      <c r="N227" s="2531"/>
      <c r="O227" s="1729"/>
      <c r="P227" s="2531"/>
      <c r="Q227" s="2531"/>
      <c r="R227" s="1729"/>
      <c r="S227" s="2531">
        <f>'Part III-A-Uses of Funds'!S117</f>
        <v>10000</v>
      </c>
      <c r="T227" s="2531"/>
    </row>
    <row r="228" spans="1:20">
      <c r="A228" s="1729"/>
      <c r="B228" s="1729" t="s">
        <v>2194</v>
      </c>
      <c r="C228" s="1729"/>
      <c r="D228" s="1729"/>
      <c r="E228" s="1729"/>
      <c r="F228" s="1729"/>
      <c r="G228" s="2531">
        <f>'Part III-A-Uses of Funds'!G118</f>
        <v>60000</v>
      </c>
      <c r="H228" s="2531"/>
      <c r="I228" s="1729"/>
      <c r="J228" s="2531"/>
      <c r="K228" s="2531"/>
      <c r="L228" s="2520"/>
      <c r="M228" s="2531"/>
      <c r="N228" s="2531"/>
      <c r="O228" s="1729"/>
      <c r="P228" s="2531"/>
      <c r="Q228" s="2531"/>
      <c r="R228" s="1729"/>
      <c r="S228" s="2531">
        <f>'Part III-A-Uses of Funds'!S118</f>
        <v>60000</v>
      </c>
      <c r="T228" s="2531"/>
    </row>
    <row r="229" spans="1:20" ht="15.95"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80000</v>
      </c>
      <c r="H230" s="2531"/>
      <c r="I230" s="1729"/>
      <c r="J230" s="2531"/>
      <c r="K230" s="2531"/>
      <c r="L230" s="2520"/>
      <c r="M230" s="2531"/>
      <c r="N230" s="2531"/>
      <c r="O230" s="1729"/>
      <c r="P230" s="2531"/>
      <c r="Q230" s="2531"/>
      <c r="R230" s="1729"/>
      <c r="S230" s="2531">
        <f>SUM(S226:S229)</f>
        <v>80000</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1848000</v>
      </c>
      <c r="H232" s="2531"/>
      <c r="I232" s="1729"/>
      <c r="J232" s="2531">
        <f>'Part III-A-Uses of Funds'!J122</f>
        <v>1848000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3324</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0</v>
      </c>
      <c r="H236" s="2531"/>
      <c r="I236" s="1729"/>
      <c r="J236" s="2531">
        <f>'Part III-A-Uses of Funds'!J126</f>
        <v>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1848000</v>
      </c>
      <c r="H237" s="2531"/>
      <c r="I237" s="1729"/>
      <c r="J237" s="2531">
        <f>SUM(J232:J236)</f>
        <v>1848000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25000</v>
      </c>
      <c r="H239" s="2531"/>
      <c r="I239" s="1729"/>
      <c r="J239" s="2588"/>
      <c r="K239" s="2588"/>
      <c r="L239" s="2588"/>
      <c r="M239" s="2588"/>
      <c r="N239" s="2588"/>
      <c r="O239" s="1729"/>
      <c r="P239" s="2588"/>
      <c r="Q239" s="2588"/>
      <c r="R239" s="1729"/>
      <c r="S239" s="2531">
        <f>'Part III-A-Uses of Funds'!S129</f>
        <v>25000</v>
      </c>
      <c r="T239" s="2531"/>
    </row>
    <row r="240" spans="1:20">
      <c r="A240" s="1729"/>
      <c r="B240" s="1729" t="s">
        <v>1434</v>
      </c>
      <c r="C240" s="1729"/>
      <c r="D240" s="1729"/>
      <c r="E240" s="1729"/>
      <c r="F240" s="2598">
        <f>+'Part V-Revenues &amp; Expenses'!$Q$232*('DCA Underwriting Assumptions'!$Q$104/12)</f>
        <v>124459.75</v>
      </c>
      <c r="G240" s="2531">
        <f>'Part III-A-Uses of Funds'!G130</f>
        <v>125000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125000</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360439.95154129306</v>
      </c>
      <c r="G241" s="2531">
        <f>'Part III-A-Uses of Funds'!G131</f>
        <v>372000</v>
      </c>
      <c r="H241" s="2531"/>
      <c r="I241" s="1729"/>
      <c r="J241" s="2599" t="str">
        <f>IF(E241&gt;G241,"WARNING! ODR proposed is below minimum - add comment.","")</f>
        <v/>
      </c>
      <c r="K241" s="2588"/>
      <c r="L241" s="2588"/>
      <c r="M241" s="2588"/>
      <c r="N241" s="2588"/>
      <c r="O241" s="1729"/>
      <c r="P241" s="2588"/>
      <c r="Q241" s="2588"/>
      <c r="R241" s="1729"/>
      <c r="S241" s="2531">
        <f>'Part III-A-Uses of Funds'!S131</f>
        <v>372000</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800</v>
      </c>
      <c r="G243" s="2531">
        <f>'Part III-A-Uses of Funds'!G133</f>
        <v>57600</v>
      </c>
      <c r="H243" s="2531"/>
      <c r="I243" s="1729"/>
      <c r="J243" s="2531">
        <f>'Part III-A-Uses of Funds'!J133</f>
        <v>57600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579600</v>
      </c>
      <c r="H245" s="2531"/>
      <c r="I245" s="1729"/>
      <c r="J245" s="2531">
        <f>SUM(J243:J244)</f>
        <v>57600</v>
      </c>
      <c r="K245" s="2531"/>
      <c r="L245" s="2520"/>
      <c r="M245" s="2531">
        <f>SUM(M243:M244)</f>
        <v>0</v>
      </c>
      <c r="N245" s="2531"/>
      <c r="O245" s="1729"/>
      <c r="P245" s="2531">
        <f>SUM(P243:P244)</f>
        <v>0</v>
      </c>
      <c r="Q245" s="2531"/>
      <c r="R245" s="1729"/>
      <c r="S245" s="2531">
        <f>SUM(S239:S244)</f>
        <v>522000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5064</v>
      </c>
      <c r="C256" s="1729"/>
      <c r="D256" s="1729"/>
      <c r="E256" s="2557"/>
      <c r="F256" s="2605"/>
      <c r="G256" s="2553">
        <f>G128+G134+G138+G146+G151+G156+G165+G183+G196+G202+G213+G224+G230+G237+G245+G254</f>
        <v>22451548.931046732</v>
      </c>
      <c r="H256" s="2553"/>
      <c r="I256" s="1729"/>
      <c r="J256" s="2553">
        <f>J128+J134+J138+J146+J151+J156+J165+J183+J196+J202+J213+J224+J230+J237+J245+J254</f>
        <v>19994605.883558158</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2456943.047488573</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5065</v>
      </c>
      <c r="C258" s="2570"/>
      <c r="D258" s="2607">
        <f>IF('Part V-Revenues &amp; Expenses'!$P$67=0,0,G256/'Part V-Revenues &amp; Expenses'!$P$67)</f>
        <v>311827.06848676014</v>
      </c>
      <c r="E258" s="2607"/>
      <c r="F258" s="2587" t="s">
        <v>2480</v>
      </c>
      <c r="G258" s="2607">
        <f>IF('Part V-Revenues &amp; Expenses'!$K$179=0,0,G256/'Part V-Revenues &amp; Expenses'!$K$179)</f>
        <v>260.75062293531346</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19994605.883558158</v>
      </c>
      <c r="K272" s="2536"/>
      <c r="L272" s="1729"/>
      <c r="M272" s="2536">
        <f>M256</f>
        <v>0</v>
      </c>
      <c r="N272" s="2536"/>
      <c r="O272" s="1729"/>
      <c r="P272" s="2536">
        <f>P256</f>
        <v>0</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19994605.883558158</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19994605.883558158</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0.875</v>
      </c>
      <c r="K277" s="2614"/>
      <c r="L277" s="1729"/>
      <c r="M277" s="2614">
        <f>MIN('Part V-Revenues &amp; Expenses'!$P$63/'Part V-Revenues &amp; Expenses'!$P$65,'Part V-Revenues &amp; Expenses'!$P$168/'Part V-Revenues &amp; Expenses'!$P$170)</f>
        <v>0.875</v>
      </c>
      <c r="N277" s="2614"/>
      <c r="O277" s="1729"/>
      <c r="P277" s="2614">
        <f>MIN('Part V-Revenues &amp; Expenses'!$P$63/'Part V-Revenues &amp; Expenses'!$P$65,'Part V-Revenues &amp; Expenses'!$P$168/'Part V-Revenues &amp; Expenses'!$P$170)</f>
        <v>0.875</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17495280.148113389</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1574575.2133302048</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1574575</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5066</v>
      </c>
      <c r="C286" s="1729"/>
      <c r="D286" s="1729"/>
      <c r="E286" s="1729"/>
      <c r="F286" s="1729"/>
      <c r="G286" s="1729"/>
      <c r="H286" s="1729"/>
      <c r="I286" s="1729"/>
      <c r="J286" s="2536">
        <f>G256</f>
        <v>22451548.931046732</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2850000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19601548.931046732</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1960154.8931046731</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5067</v>
      </c>
      <c r="C292" s="1729"/>
      <c r="D292" s="1729"/>
      <c r="E292" s="1729"/>
      <c r="F292" s="1729"/>
      <c r="G292" s="1729"/>
      <c r="H292" s="1729"/>
      <c r="I292" s="1729"/>
      <c r="J292" s="2621">
        <f>N292+Q292</f>
        <v>1.4500000000000002</v>
      </c>
      <c r="K292" s="2621"/>
      <c r="L292" s="2621"/>
      <c r="M292" s="1534" t="s">
        <v>1210</v>
      </c>
      <c r="N292" s="2622">
        <f>'Part III-A-Uses of Funds'!N182</f>
        <v>0.9</v>
      </c>
      <c r="O292" s="2622"/>
      <c r="P292" s="1534" t="s">
        <v>569</v>
      </c>
      <c r="Q292" s="2622">
        <f>'Part III-A-Uses of Funds'!Q182</f>
        <v>0.55000000000000004</v>
      </c>
      <c r="R292" s="2622"/>
      <c r="S292" s="1729"/>
      <c r="T292" s="1729"/>
    </row>
    <row r="293" spans="1:20">
      <c r="A293" s="1729"/>
      <c r="B293" s="2501" t="s">
        <v>1338</v>
      </c>
      <c r="C293" s="1729"/>
      <c r="D293" s="1729"/>
      <c r="E293" s="1729"/>
      <c r="F293" s="1729"/>
      <c r="G293" s="1729"/>
      <c r="H293" s="1729"/>
      <c r="I293" s="1729"/>
      <c r="J293" s="2535">
        <f>ROUNDDOWN(IF(J292=0,"",J290/J292),0)</f>
        <v>1351830</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5068</v>
      </c>
      <c r="C297" s="1729"/>
      <c r="D297" s="1729"/>
      <c r="E297" s="1729"/>
      <c r="F297" s="1729"/>
      <c r="G297" s="1729"/>
      <c r="H297" s="1729"/>
      <c r="I297" s="1729"/>
      <c r="J297" s="2535">
        <f>'Part III-A-Uses of Funds'!J187</f>
        <v>1350000</v>
      </c>
      <c r="K297" s="2535"/>
      <c r="L297" s="2535"/>
      <c r="M297" s="1729"/>
      <c r="N297" s="1729"/>
      <c r="O297" s="1729"/>
      <c r="P297" s="1729"/>
      <c r="Q297" s="2507" t="s">
        <v>4145</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5069</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5070</v>
      </c>
      <c r="C301" s="1729"/>
      <c r="D301" s="377"/>
      <c r="E301" s="377"/>
      <c r="F301" s="2508"/>
      <c r="G301" s="1729"/>
      <c r="H301" s="1729"/>
      <c r="I301" s="1729"/>
      <c r="J301" s="2535">
        <f>IF(J299="",0,+MIN(J297,J299))</f>
        <v>1350000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Flats at Lake View II  -  Warner Robins  -  Houston,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Owner Paid Design Fees</v>
      </c>
      <c r="B348" s="2636"/>
      <c r="C348" s="2636"/>
      <c r="D348" s="2636"/>
      <c r="F348" s="2637" t="str">
        <f>'Part III-B-Other Items'!F42</f>
        <v xml:space="preserve"> The owner is hiring a designer for $10,000 to design the interior of public areas.</v>
      </c>
      <c r="G348" s="2635"/>
      <c r="H348" s="2637" t="str">
        <f>'Part III-B-Other Items'!H42</f>
        <v>The applicant and its attorney believe that this expense considered to be a part of the construction costs of the proposed project and therefore should be considered as part of eligible basis.</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10000</v>
      </c>
      <c r="C351" s="2638" t="s">
        <v>1660</v>
      </c>
      <c r="D351" s="2639">
        <f>'Part III-A-Uses of Funds'!$J$85+'Part III-A-Uses of Funds'!$M$85+'Part III-A-Uses of Funds'!$P$85</f>
        <v>10000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Flats at Lake View II,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South</v>
      </c>
      <c r="J393" s="1657"/>
    </row>
    <row r="395" spans="1:13">
      <c r="A395" s="2645" t="s">
        <v>5075</v>
      </c>
    </row>
    <row r="397" spans="1:13">
      <c r="A397" s="360" t="s">
        <v>572</v>
      </c>
      <c r="B397" s="360" t="s">
        <v>2054</v>
      </c>
      <c r="F397" s="358" t="s">
        <v>2311</v>
      </c>
      <c r="G397" s="358"/>
      <c r="H397" s="358"/>
      <c r="I397" s="358" t="str">
        <f>'Part IV-Utility Allowances'!I7</f>
        <v>Georgia Department of Community Affairs</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8</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15</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29</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20</v>
      </c>
    </row>
    <row r="406" spans="1:13">
      <c r="B406" s="358" t="s">
        <v>3186</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43</v>
      </c>
    </row>
    <row r="409" spans="1:13">
      <c r="B409" s="358" t="s">
        <v>1290</v>
      </c>
      <c r="C409" s="358"/>
      <c r="D409" s="358" t="s">
        <v>5034</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85</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103</v>
      </c>
      <c r="K412" s="2647">
        <f>IF(SUM(K402:K411)=0,0,IF(OR($D402="&lt;&lt;Select Fuel &gt;&gt;",$D403="&lt;&lt;Select Fuel &gt;&gt;",$D404="&lt;&lt;Select Fuel &gt;&gt;"),"Select Fuel",IF($E409="&lt;Select&gt;","Submeter?",SUM(K402:K411))))</f>
        <v>133</v>
      </c>
      <c r="L412" s="2647">
        <f>IF(SUM(L402:L411)=0,0,IF(OR($D402="&lt;&lt;Select Fuel &gt;&gt;",$D403="&lt;&lt;Select Fuel &gt;&gt;",$D404="&lt;&lt;Select Fuel &gt;&gt;"),"Select Fuel",IF($E409="&lt;Select&gt;","Submeter?",SUM(L402:L411))))</f>
        <v>165</v>
      </c>
      <c r="M412" s="2647">
        <f>IF(SUM(M402:M411)=0,0,IF(OR($D402="&lt;&lt;Select Fuel &gt;&gt;",$D403="&lt;&lt;Select Fuel &gt;&gt;",$D404="&lt;&lt;Select Fuel &gt;&gt;"),"Select Fuel",IF($E409="&lt;Select&gt;","Submeter?",SUM(M402:M411))))</f>
        <v>200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The applicant will be following the DCA-HUD Utility Allowance as presented above. The owner will be providing a range, microwave, refrigerator in every unit; therefore, the Utility Allowances for those items are not necessary.  Additional UA backup- support documentation saved in folder 52.</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Flats at Lake View II,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Flats at Lake View II,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Warner Robins</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5078</v>
      </c>
      <c r="P444" s="2658">
        <f>'Part V-Revenues &amp; Expenses'!P6</f>
        <v>91900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HUD</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3218</v>
      </c>
      <c r="I447" s="1546"/>
      <c r="J447" s="2663" t="s">
        <v>3987</v>
      </c>
      <c r="K447" s="2655" t="s">
        <v>5079</v>
      </c>
      <c r="L447" s="1546" t="s">
        <v>139</v>
      </c>
      <c r="M447" s="1546"/>
      <c r="N447" s="2655" t="s">
        <v>2178</v>
      </c>
      <c r="O447" s="2655" t="s">
        <v>4380</v>
      </c>
      <c r="P447" s="2651" t="s">
        <v>5080</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5081</v>
      </c>
      <c r="KD447" s="359" t="s">
        <v>5081</v>
      </c>
      <c r="KE447" s="359" t="s">
        <v>5081</v>
      </c>
      <c r="KF447" s="359" t="s">
        <v>5081</v>
      </c>
      <c r="KG447" s="359" t="s">
        <v>5081</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f>'Part V-Revenues &amp; Expenses'!B11</f>
        <v>0</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f>'Part V-Revenues &amp; Expenses'!B12</f>
        <v>0</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1</v>
      </c>
      <c r="D451" s="2668">
        <f>'Part V-Revenues &amp; Expenses'!D13</f>
        <v>1</v>
      </c>
      <c r="E451" s="2669">
        <f>'Part V-Revenues &amp; Expenses'!E13</f>
        <v>2</v>
      </c>
      <c r="F451" s="2669">
        <f>'Part V-Revenues &amp; Expenses'!F13</f>
        <v>721</v>
      </c>
      <c r="G451" s="2669">
        <f>'Part V-Revenues &amp; Expenses'!G13</f>
        <v>0</v>
      </c>
      <c r="H451" s="2669">
        <f>'Part V-Revenues &amp; Expenses'!H13</f>
        <v>1175</v>
      </c>
      <c r="I451" s="2669">
        <f>'Part V-Revenues &amp; Expenses'!I13</f>
        <v>0</v>
      </c>
      <c r="J451" s="2669">
        <f>'Part V-Revenues &amp; Expenses'!J13</f>
        <v>0</v>
      </c>
      <c r="K451" s="2670">
        <f>'Part V-Revenues &amp; Expenses'!K13</f>
        <v>0</v>
      </c>
      <c r="L451" s="2671">
        <f t="shared" si="1"/>
        <v>1175</v>
      </c>
      <c r="M451" s="2671">
        <f t="shared" si="2"/>
        <v>2350</v>
      </c>
      <c r="N451" s="2540" t="str">
        <f>'Part V-Revenues &amp; Expenses'!N13</f>
        <v>No</v>
      </c>
      <c r="O451" s="1257" t="str">
        <f>'Part V-Revenues &amp; Expenses'!O13</f>
        <v>Low-Rise Apt</v>
      </c>
      <c r="P451" s="2540" t="str">
        <f>'Part V-Revenues &amp; Expenses'!P13</f>
        <v>New Construction</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2</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1442</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2</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2</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f t="shared" si="259"/>
        <v>2</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2</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2</v>
      </c>
      <c r="D452" s="2668">
        <f>'Part V-Revenues &amp; Expenses'!D14</f>
        <v>2</v>
      </c>
      <c r="E452" s="2669">
        <f>'Part V-Revenues &amp; Expenses'!E14</f>
        <v>4</v>
      </c>
      <c r="F452" s="2669">
        <f>'Part V-Revenues &amp; Expenses'!F14</f>
        <v>969</v>
      </c>
      <c r="G452" s="2669">
        <f>'Part V-Revenues &amp; Expenses'!G14</f>
        <v>0</v>
      </c>
      <c r="H452" s="2669">
        <f>'Part V-Revenues &amp; Expenses'!H14</f>
        <v>1275</v>
      </c>
      <c r="I452" s="2669">
        <f>'Part V-Revenues &amp; Expenses'!I14</f>
        <v>0</v>
      </c>
      <c r="J452" s="2669">
        <f>'Part V-Revenues &amp; Expenses'!J14</f>
        <v>0</v>
      </c>
      <c r="K452" s="2670">
        <f>'Part V-Revenues &amp; Expenses'!K14</f>
        <v>0</v>
      </c>
      <c r="L452" s="2671">
        <f t="shared" si="1"/>
        <v>1275</v>
      </c>
      <c r="M452" s="2671">
        <f t="shared" si="2"/>
        <v>5100</v>
      </c>
      <c r="N452" s="2540" t="str">
        <f>'Part V-Revenues &amp; Expenses'!N14</f>
        <v>No</v>
      </c>
      <c r="O452" s="1257" t="str">
        <f>'Part V-Revenues &amp; Expenses'!O14</f>
        <v>Low-Rise Apt</v>
      </c>
      <c r="P452" s="2540" t="str">
        <f>'Part V-Revenues &amp; Expenses'!P14</f>
        <v>New Construction</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4</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3876</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4</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4</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f t="shared" si="260"/>
        <v>4</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4</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3</v>
      </c>
      <c r="D453" s="2668">
        <f>'Part V-Revenues &amp; Expenses'!D15</f>
        <v>2</v>
      </c>
      <c r="E453" s="2669">
        <f>'Part V-Revenues &amp; Expenses'!E15</f>
        <v>2</v>
      </c>
      <c r="F453" s="2669">
        <f>'Part V-Revenues &amp; Expenses'!F15</f>
        <v>1200</v>
      </c>
      <c r="G453" s="2669">
        <f>'Part V-Revenues &amp; Expenses'!G15</f>
        <v>0</v>
      </c>
      <c r="H453" s="2669">
        <f>'Part V-Revenues &amp; Expenses'!H15</f>
        <v>1450</v>
      </c>
      <c r="I453" s="2669">
        <f>'Part V-Revenues &amp; Expenses'!I15</f>
        <v>0</v>
      </c>
      <c r="J453" s="2669">
        <f>'Part V-Revenues &amp; Expenses'!J15</f>
        <v>0</v>
      </c>
      <c r="K453" s="2670">
        <f>'Part V-Revenues &amp; Expenses'!K15</f>
        <v>0</v>
      </c>
      <c r="L453" s="2671">
        <f t="shared" si="1"/>
        <v>1450</v>
      </c>
      <c r="M453" s="2671">
        <f t="shared" si="2"/>
        <v>2900</v>
      </c>
      <c r="N453" s="2540" t="str">
        <f>'Part V-Revenues &amp; Expenses'!N15</f>
        <v>No</v>
      </c>
      <c r="O453" s="1257" t="str">
        <f>'Part V-Revenues &amp; Expenses'!O15</f>
        <v>Low-Rise Apt</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f t="shared" si="41"/>
        <v>2</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f t="shared" si="156"/>
        <v>2400</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f t="shared" si="176"/>
        <v>2</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f t="shared" si="216"/>
        <v>2</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f t="shared" si="261"/>
        <v>2</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2</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4</v>
      </c>
      <c r="D454" s="2668">
        <f>'Part V-Revenues &amp; Expenses'!D16</f>
        <v>2</v>
      </c>
      <c r="E454" s="2669">
        <f>'Part V-Revenues &amp; Expenses'!E16</f>
        <v>1</v>
      </c>
      <c r="F454" s="2669">
        <f>'Part V-Revenues &amp; Expenses'!F16</f>
        <v>1383</v>
      </c>
      <c r="G454" s="2669">
        <f>'Part V-Revenues &amp; Expenses'!G16</f>
        <v>0</v>
      </c>
      <c r="H454" s="2669">
        <f>'Part V-Revenues &amp; Expenses'!H16</f>
        <v>1550</v>
      </c>
      <c r="I454" s="2669">
        <f>'Part V-Revenues &amp; Expenses'!I16</f>
        <v>0</v>
      </c>
      <c r="J454" s="2669">
        <f>'Part V-Revenues &amp; Expenses'!J16</f>
        <v>0</v>
      </c>
      <c r="K454" s="2670">
        <f>'Part V-Revenues &amp; Expenses'!K16</f>
        <v>0</v>
      </c>
      <c r="L454" s="2671">
        <f t="shared" si="1"/>
        <v>1550</v>
      </c>
      <c r="M454" s="2671">
        <f t="shared" si="2"/>
        <v>1550</v>
      </c>
      <c r="N454" s="2540" t="str">
        <f>'Part V-Revenues &amp; Expenses'!N16</f>
        <v>No</v>
      </c>
      <c r="O454" s="1257" t="str">
        <f>'Part V-Revenues &amp; Expenses'!O16</f>
        <v>Low-Rise Apt</v>
      </c>
      <c r="P454" s="2540" t="str">
        <f>'Part V-Revenues &amp; Expenses'!P16</f>
        <v>New Construction</v>
      </c>
      <c r="Q454" s="1805" t="str">
        <f>'Part V-Revenues &amp; Expenses'!Q16</f>
        <v>No</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f t="shared" si="42"/>
        <v>1</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f t="shared" si="157"/>
        <v>1383</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f t="shared" si="177"/>
        <v>1</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f t="shared" si="217"/>
        <v>1</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f t="shared" si="262"/>
        <v>1</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1</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f>'Part V-Revenues &amp; Expenses'!B17</f>
        <v>0</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4</v>
      </c>
      <c r="F456" s="2669">
        <f>'Part V-Revenues &amp; Expenses'!F18</f>
        <v>721</v>
      </c>
      <c r="G456" s="2669">
        <f>'Part V-Revenues &amp; Expenses'!G18</f>
        <v>862</v>
      </c>
      <c r="H456" s="2669">
        <f>'Part V-Revenues &amp; Expenses'!H18</f>
        <v>818</v>
      </c>
      <c r="I456" s="2669">
        <f>'Part V-Revenues &amp; Expenses'!I18</f>
        <v>0</v>
      </c>
      <c r="J456" s="2669">
        <f>'Part V-Revenues &amp; Expenses'!J18</f>
        <v>103</v>
      </c>
      <c r="K456" s="2670">
        <f>'Part V-Revenues &amp; Expenses'!K18</f>
        <v>0</v>
      </c>
      <c r="L456" s="2671">
        <f t="shared" si="1"/>
        <v>715</v>
      </c>
      <c r="M456" s="2671">
        <f t="shared" si="2"/>
        <v>2860</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4</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2884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4</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4</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4</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4</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 customHeight="1">
      <c r="A457" s="2647" t="str">
        <f t="shared" si="0"/>
        <v/>
      </c>
      <c r="B457" s="2666">
        <f>'Part V-Revenues &amp; Expenses'!B19</f>
        <v>50</v>
      </c>
      <c r="C457" s="2667">
        <f>'Part V-Revenues &amp; Expenses'!C19</f>
        <v>2</v>
      </c>
      <c r="D457" s="2668">
        <f>'Part V-Revenues &amp; Expenses'!D19</f>
        <v>2</v>
      </c>
      <c r="E457" s="2669">
        <f>'Part V-Revenues &amp; Expenses'!E19</f>
        <v>5</v>
      </c>
      <c r="F457" s="2669">
        <f>'Part V-Revenues &amp; Expenses'!F19</f>
        <v>969</v>
      </c>
      <c r="G457" s="2669">
        <f>'Part V-Revenues &amp; Expenses'!G19</f>
        <v>1035</v>
      </c>
      <c r="H457" s="2669">
        <f>'Part V-Revenues &amp; Expenses'!H19</f>
        <v>988</v>
      </c>
      <c r="I457" s="2669">
        <f>'Part V-Revenues &amp; Expenses'!I19</f>
        <v>0</v>
      </c>
      <c r="J457" s="2669">
        <f>'Part V-Revenues &amp; Expenses'!J19</f>
        <v>133</v>
      </c>
      <c r="K457" s="2670">
        <f>'Part V-Revenues &amp; Expenses'!K19</f>
        <v>0</v>
      </c>
      <c r="L457" s="2671">
        <f t="shared" si="1"/>
        <v>855</v>
      </c>
      <c r="M457" s="2671">
        <f t="shared" si="2"/>
        <v>4275</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5</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4845</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5</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5</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5</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5</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 customHeight="1">
      <c r="A458" s="2647" t="str">
        <f t="shared" si="0"/>
        <v/>
      </c>
      <c r="B458" s="2666">
        <f>'Part V-Revenues &amp; Expenses'!B20</f>
        <v>50</v>
      </c>
      <c r="C458" s="2667">
        <f>'Part V-Revenues &amp; Expenses'!C20</f>
        <v>3</v>
      </c>
      <c r="D458" s="2668">
        <f>'Part V-Revenues &amp; Expenses'!D20</f>
        <v>2</v>
      </c>
      <c r="E458" s="2669">
        <f>'Part V-Revenues &amp; Expenses'!E20</f>
        <v>4</v>
      </c>
      <c r="F458" s="2669">
        <f>'Part V-Revenues &amp; Expenses'!F20</f>
        <v>1200</v>
      </c>
      <c r="G458" s="2669">
        <f>'Part V-Revenues &amp; Expenses'!G20</f>
        <v>1195</v>
      </c>
      <c r="H458" s="2669">
        <f>'Part V-Revenues &amp; Expenses'!H20</f>
        <v>1140</v>
      </c>
      <c r="I458" s="2669">
        <f>'Part V-Revenues &amp; Expenses'!I20</f>
        <v>0</v>
      </c>
      <c r="J458" s="2669">
        <f>'Part V-Revenues &amp; Expenses'!J20</f>
        <v>165</v>
      </c>
      <c r="K458" s="2670">
        <f>'Part V-Revenues &amp; Expenses'!K20</f>
        <v>0</v>
      </c>
      <c r="L458" s="2671">
        <f t="shared" si="1"/>
        <v>975</v>
      </c>
      <c r="M458" s="2671">
        <f t="shared" si="2"/>
        <v>3900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f t="shared" si="21"/>
        <v>4</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f t="shared" si="136"/>
        <v>4800</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4</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4</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4</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4</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 customHeight="1">
      <c r="A459" s="2647" t="str">
        <f t="shared" si="0"/>
        <v/>
      </c>
      <c r="B459" s="2666">
        <f>'Part V-Revenues &amp; Expenses'!B21</f>
        <v>50</v>
      </c>
      <c r="C459" s="2667">
        <f>'Part V-Revenues &amp; Expenses'!C21</f>
        <v>4</v>
      </c>
      <c r="D459" s="2668">
        <f>'Part V-Revenues &amp; Expenses'!D21</f>
        <v>2</v>
      </c>
      <c r="E459" s="2669">
        <f>'Part V-Revenues &amp; Expenses'!E21</f>
        <v>2</v>
      </c>
      <c r="F459" s="2669">
        <f>'Part V-Revenues &amp; Expenses'!F21</f>
        <v>1383</v>
      </c>
      <c r="G459" s="2669">
        <f>'Part V-Revenues &amp; Expenses'!G21</f>
        <v>1333</v>
      </c>
      <c r="H459" s="2669">
        <f>'Part V-Revenues &amp; Expenses'!H21</f>
        <v>1275</v>
      </c>
      <c r="I459" s="2669">
        <f>'Part V-Revenues &amp; Expenses'!I21</f>
        <v>0</v>
      </c>
      <c r="J459" s="2669">
        <f>'Part V-Revenues &amp; Expenses'!J21</f>
        <v>200</v>
      </c>
      <c r="K459" s="2670">
        <f>'Part V-Revenues &amp; Expenses'!K21</f>
        <v>0</v>
      </c>
      <c r="L459" s="2671">
        <f t="shared" si="1"/>
        <v>1075</v>
      </c>
      <c r="M459" s="2671">
        <f t="shared" si="2"/>
        <v>2150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f t="shared" si="22"/>
        <v>2</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f t="shared" si="137"/>
        <v>2766</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f t="shared" si="172"/>
        <v>2</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f t="shared" si="217"/>
        <v>2</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f t="shared" si="262"/>
        <v>2</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2</v>
      </c>
      <c r="MP459" s="1658">
        <f t="shared" si="328"/>
        <v>0</v>
      </c>
      <c r="MQ459" s="1658">
        <f t="shared" si="329"/>
        <v>0</v>
      </c>
      <c r="MR459" s="1658">
        <f t="shared" si="330"/>
        <v>0</v>
      </c>
      <c r="MS459" s="1658">
        <f t="shared" si="331"/>
        <v>0</v>
      </c>
      <c r="MT459" s="1658">
        <f t="shared" si="332"/>
        <v>0</v>
      </c>
      <c r="NP459" s="356" t="s">
        <v>4313</v>
      </c>
    </row>
    <row r="460" spans="1:380" ht="13.9" customHeight="1">
      <c r="A460" s="2647" t="str">
        <f t="shared" si="0"/>
        <v/>
      </c>
      <c r="B460" s="2666">
        <f>'Part V-Revenues &amp; Expenses'!B22</f>
        <v>60</v>
      </c>
      <c r="C460" s="2667">
        <f>'Part V-Revenues &amp; Expenses'!C22</f>
        <v>1</v>
      </c>
      <c r="D460" s="2668">
        <f>'Part V-Revenues &amp; Expenses'!D22</f>
        <v>1</v>
      </c>
      <c r="E460" s="2669">
        <f>'Part V-Revenues &amp; Expenses'!E22</f>
        <v>12</v>
      </c>
      <c r="F460" s="2669">
        <f>'Part V-Revenues &amp; Expenses'!F22</f>
        <v>721</v>
      </c>
      <c r="G460" s="2669">
        <f>'Part V-Revenues &amp; Expenses'!G22</f>
        <v>1035</v>
      </c>
      <c r="H460" s="2669">
        <f>'Part V-Revenues &amp; Expenses'!H22</f>
        <v>953</v>
      </c>
      <c r="I460" s="2669">
        <f>'Part V-Revenues &amp; Expenses'!I22</f>
        <v>0</v>
      </c>
      <c r="J460" s="2669">
        <f>'Part V-Revenues &amp; Expenses'!J22</f>
        <v>103</v>
      </c>
      <c r="K460" s="2670">
        <f>'Part V-Revenues &amp; Expenses'!K22</f>
        <v>0</v>
      </c>
      <c r="L460" s="2671">
        <f t="shared" si="1"/>
        <v>850</v>
      </c>
      <c r="M460" s="2671">
        <f t="shared" si="2"/>
        <v>10200</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f t="shared" si="14"/>
        <v>12</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f t="shared" si="129"/>
        <v>8652</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f t="shared" si="169"/>
        <v>12</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12</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f t="shared" si="259"/>
        <v>12</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12</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 customHeight="1">
      <c r="A461" s="2647" t="str">
        <f t="shared" si="0"/>
        <v/>
      </c>
      <c r="B461" s="2666">
        <f>'Part V-Revenues &amp; Expenses'!B23</f>
        <v>60</v>
      </c>
      <c r="C461" s="2667">
        <f>'Part V-Revenues &amp; Expenses'!C23</f>
        <v>2</v>
      </c>
      <c r="D461" s="2668">
        <f>'Part V-Revenues &amp; Expenses'!D23</f>
        <v>2</v>
      </c>
      <c r="E461" s="2669">
        <f>'Part V-Revenues &amp; Expenses'!E23</f>
        <v>18</v>
      </c>
      <c r="F461" s="2669">
        <f>'Part V-Revenues &amp; Expenses'!F23</f>
        <v>969</v>
      </c>
      <c r="G461" s="2669">
        <f>'Part V-Revenues &amp; Expenses'!G23</f>
        <v>1242</v>
      </c>
      <c r="H461" s="2669">
        <f>'Part V-Revenues &amp; Expenses'!H23</f>
        <v>1133</v>
      </c>
      <c r="I461" s="2669">
        <f>'Part V-Revenues &amp; Expenses'!I23</f>
        <v>0</v>
      </c>
      <c r="J461" s="2669">
        <f>'Part V-Revenues &amp; Expenses'!J23</f>
        <v>133</v>
      </c>
      <c r="K461" s="2670">
        <f>'Part V-Revenues &amp; Expenses'!K23</f>
        <v>0</v>
      </c>
      <c r="L461" s="2671">
        <f t="shared" si="1"/>
        <v>1000</v>
      </c>
      <c r="M461" s="2671">
        <f t="shared" si="2"/>
        <v>18000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18</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17442</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18</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18</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18</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18</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 customHeight="1">
      <c r="A462" s="2647" t="str">
        <f t="shared" si="0"/>
        <v/>
      </c>
      <c r="B462" s="2666">
        <f>'Part V-Revenues &amp; Expenses'!B24</f>
        <v>60</v>
      </c>
      <c r="C462" s="2667">
        <f>'Part V-Revenues &amp; Expenses'!C24</f>
        <v>3</v>
      </c>
      <c r="D462" s="2668">
        <f>'Part V-Revenues &amp; Expenses'!D24</f>
        <v>2</v>
      </c>
      <c r="E462" s="2669">
        <f>'Part V-Revenues &amp; Expenses'!E24</f>
        <v>12</v>
      </c>
      <c r="F462" s="2669">
        <f>'Part V-Revenues &amp; Expenses'!F24</f>
        <v>1200</v>
      </c>
      <c r="G462" s="2669">
        <f>'Part V-Revenues &amp; Expenses'!G24</f>
        <v>1434</v>
      </c>
      <c r="H462" s="2669">
        <f>'Part V-Revenues &amp; Expenses'!H24</f>
        <v>1265</v>
      </c>
      <c r="I462" s="2669">
        <f>'Part V-Revenues &amp; Expenses'!I24</f>
        <v>0</v>
      </c>
      <c r="J462" s="2669">
        <f>'Part V-Revenues &amp; Expenses'!J24</f>
        <v>165</v>
      </c>
      <c r="K462" s="2670">
        <f>'Part V-Revenues &amp; Expenses'!K24</f>
        <v>0</v>
      </c>
      <c r="L462" s="2671">
        <f t="shared" si="1"/>
        <v>1100</v>
      </c>
      <c r="M462" s="2671">
        <f t="shared" si="2"/>
        <v>13200</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f t="shared" si="16"/>
        <v>12</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f t="shared" si="131"/>
        <v>14400</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12</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12</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12</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12</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 customHeight="1">
      <c r="A463" s="2647" t="str">
        <f t="shared" si="0"/>
        <v/>
      </c>
      <c r="B463" s="2666">
        <f>'Part V-Revenues &amp; Expenses'!B25</f>
        <v>60</v>
      </c>
      <c r="C463" s="2667">
        <f>'Part V-Revenues &amp; Expenses'!C25</f>
        <v>4</v>
      </c>
      <c r="D463" s="2668">
        <f>'Part V-Revenues &amp; Expenses'!D25</f>
        <v>2</v>
      </c>
      <c r="E463" s="2669">
        <f>'Part V-Revenues &amp; Expenses'!E25</f>
        <v>6</v>
      </c>
      <c r="F463" s="2669">
        <f>'Part V-Revenues &amp; Expenses'!F25</f>
        <v>1383</v>
      </c>
      <c r="G463" s="2669">
        <f>'Part V-Revenues &amp; Expenses'!G25</f>
        <v>1600</v>
      </c>
      <c r="H463" s="2669">
        <f>'Part V-Revenues &amp; Expenses'!H25</f>
        <v>1400</v>
      </c>
      <c r="I463" s="2669">
        <f>'Part V-Revenues &amp; Expenses'!I25</f>
        <v>0</v>
      </c>
      <c r="J463" s="2669">
        <f>'Part V-Revenues &amp; Expenses'!J25</f>
        <v>200</v>
      </c>
      <c r="K463" s="2670">
        <f>'Part V-Revenues &amp; Expenses'!K25</f>
        <v>0</v>
      </c>
      <c r="L463" s="2671">
        <f t="shared" si="1"/>
        <v>1200</v>
      </c>
      <c r="M463" s="2671">
        <f t="shared" si="2"/>
        <v>7200</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f t="shared" si="17"/>
        <v>6</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f t="shared" si="132"/>
        <v>8298</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f t="shared" si="172"/>
        <v>6</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f t="shared" si="217"/>
        <v>6</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f t="shared" si="262"/>
        <v>6</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6</v>
      </c>
      <c r="MP463" s="1658">
        <f t="shared" si="328"/>
        <v>0</v>
      </c>
      <c r="MQ463" s="1658">
        <f t="shared" si="329"/>
        <v>0</v>
      </c>
      <c r="MR463" s="1658">
        <f t="shared" si="330"/>
        <v>0</v>
      </c>
      <c r="MS463" s="1658">
        <f t="shared" si="331"/>
        <v>0</v>
      </c>
      <c r="MT463" s="1658">
        <f t="shared" si="332"/>
        <v>0</v>
      </c>
      <c r="NP463" s="356" t="s">
        <v>4317</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72</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73188</v>
      </c>
      <c r="H487" s="2679" t="s">
        <v>3645</v>
      </c>
      <c r="I487" s="2680" t="s">
        <v>3646</v>
      </c>
      <c r="J487" s="2681" t="str">
        <f>IF(P505=0,"",IF(SUM(P496:P500)/P505&gt;=0.4,"Pass","Fail"))</f>
        <v>Pass</v>
      </c>
      <c r="K487" s="362"/>
      <c r="L487" s="2682" t="s">
        <v>1223</v>
      </c>
      <c r="M487" s="2683">
        <f>SUM(M449:M486)</f>
        <v>73685</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12</v>
      </c>
      <c r="AJ487" s="1659">
        <f t="shared" si="338"/>
        <v>18</v>
      </c>
      <c r="AK487" s="1659">
        <f t="shared" si="338"/>
        <v>12</v>
      </c>
      <c r="AL487" s="1659">
        <f t="shared" si="338"/>
        <v>6</v>
      </c>
      <c r="AM487" s="1659">
        <f>SUM(AM449:AM486)</f>
        <v>0</v>
      </c>
      <c r="AN487" s="1659">
        <f>SUM(AN449:AN486)</f>
        <v>4</v>
      </c>
      <c r="AO487" s="1659">
        <f>SUM(AO449:AO486)</f>
        <v>5</v>
      </c>
      <c r="AP487" s="1659">
        <f>SUM(AP449:AP486)</f>
        <v>4</v>
      </c>
      <c r="AQ487" s="1659">
        <f>SUM(AQ449:AQ486)</f>
        <v>2</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2</v>
      </c>
      <c r="BI487" s="1659">
        <f t="shared" si="338"/>
        <v>4</v>
      </c>
      <c r="BJ487" s="1659">
        <f t="shared" si="338"/>
        <v>2</v>
      </c>
      <c r="BK487" s="1659">
        <f t="shared" si="338"/>
        <v>1</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8652</v>
      </c>
      <c r="EU487" s="1659">
        <f t="shared" si="338"/>
        <v>17442</v>
      </c>
      <c r="EV487" s="1659">
        <f t="shared" si="338"/>
        <v>14400</v>
      </c>
      <c r="EW487" s="1659">
        <f t="shared" si="338"/>
        <v>8298</v>
      </c>
      <c r="EX487" s="1659">
        <f t="shared" si="338"/>
        <v>0</v>
      </c>
      <c r="EY487" s="1659">
        <f t="shared" si="338"/>
        <v>2884</v>
      </c>
      <c r="EZ487" s="1659">
        <f t="shared" si="338"/>
        <v>4845</v>
      </c>
      <c r="FA487" s="1659">
        <f t="shared" si="338"/>
        <v>4800</v>
      </c>
      <c r="FB487" s="1659">
        <f t="shared" ref="FB487:HW487" si="340">SUM(FB449:FB486)</f>
        <v>2766</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1442</v>
      </c>
      <c r="FT487" s="1659">
        <f t="shared" si="340"/>
        <v>3876</v>
      </c>
      <c r="FU487" s="1659">
        <f t="shared" si="340"/>
        <v>2400</v>
      </c>
      <c r="FV487" s="1659">
        <f t="shared" si="340"/>
        <v>1383</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16</v>
      </c>
      <c r="GI487" s="1659">
        <f t="shared" si="340"/>
        <v>23</v>
      </c>
      <c r="GJ487" s="1659">
        <f t="shared" si="340"/>
        <v>16</v>
      </c>
      <c r="GK487" s="1659">
        <f t="shared" si="340"/>
        <v>8</v>
      </c>
      <c r="GL487" s="1659">
        <f t="shared" si="340"/>
        <v>0</v>
      </c>
      <c r="GM487" s="1659">
        <f t="shared" si="340"/>
        <v>2</v>
      </c>
      <c r="GN487" s="1659">
        <f t="shared" si="340"/>
        <v>4</v>
      </c>
      <c r="GO487" s="1659">
        <f t="shared" si="340"/>
        <v>2</v>
      </c>
      <c r="GP487" s="1659">
        <f t="shared" si="340"/>
        <v>1</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18</v>
      </c>
      <c r="IB487" s="1659">
        <f t="shared" si="341"/>
        <v>27</v>
      </c>
      <c r="IC487" s="1659">
        <f t="shared" si="341"/>
        <v>18</v>
      </c>
      <c r="ID487" s="1659">
        <f t="shared" si="341"/>
        <v>9</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18</v>
      </c>
      <c r="JU487" s="1659">
        <f t="shared" si="341"/>
        <v>27</v>
      </c>
      <c r="JV487" s="1659">
        <f t="shared" si="341"/>
        <v>18</v>
      </c>
      <c r="JW487" s="1659">
        <f t="shared" si="341"/>
        <v>9</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18</v>
      </c>
      <c r="MM487" s="1659">
        <f t="shared" si="343"/>
        <v>27</v>
      </c>
      <c r="MN487" s="1659">
        <f t="shared" si="343"/>
        <v>18</v>
      </c>
      <c r="MO487" s="1659">
        <f t="shared" si="343"/>
        <v>9</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57.61904761904762</v>
      </c>
      <c r="C488" s="2684"/>
      <c r="D488" s="2647" t="s">
        <v>3555</v>
      </c>
      <c r="E488" s="2677">
        <f>SUM(E456:E486)</f>
        <v>63</v>
      </c>
      <c r="F488" s="2678">
        <f>(E456*F456+E457*F457+E458*F458+E459*F459+E460*F460+E461*F461+E462*F462+E463*F463+E464*F464+E465*F465+E466*F466+E467*F467+E468*F468+E469*F469+E470*F470+E471*F471+E472*F472+E473*F473+E474*F474+E475*F475+E476*F476+E477*F477+E478*F478+E479*F479+E480*F480+E481*F481+E482*F482+E483*F483+E484*F484+E485*F485+E486*F486)</f>
        <v>64087</v>
      </c>
      <c r="H488" s="2679"/>
      <c r="I488" s="2680" t="s">
        <v>3647</v>
      </c>
      <c r="J488" s="2681" t="str">
        <f>IF(P505=0,"",IF(SUM(P497:P500)/P505&gt;=0.2,"Pass","Fail"))</f>
        <v>Pass</v>
      </c>
      <c r="K488" s="362"/>
      <c r="L488" s="2676" t="s">
        <v>756</v>
      </c>
      <c r="M488" s="2683">
        <f>M487*12</f>
        <v>884220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5"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12</v>
      </c>
      <c r="M496" s="2688">
        <f>AJ487</f>
        <v>18</v>
      </c>
      <c r="N496" s="2688">
        <f>AK487</f>
        <v>12</v>
      </c>
      <c r="O496" s="2688">
        <f>AL487</f>
        <v>6</v>
      </c>
      <c r="P496" s="2688">
        <f t="shared" si="344"/>
        <v>48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4</v>
      </c>
      <c r="M497" s="2688">
        <f>AO487</f>
        <v>5</v>
      </c>
      <c r="N497" s="2688">
        <f>AP487</f>
        <v>4</v>
      </c>
      <c r="O497" s="2688">
        <f>AQ487</f>
        <v>2</v>
      </c>
      <c r="P497" s="2688">
        <f t="shared" si="344"/>
        <v>15</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16</v>
      </c>
      <c r="M501" s="2688">
        <f>SUM(M494:M500)</f>
        <v>23</v>
      </c>
      <c r="N501" s="2688">
        <f>SUM(N494:N500)</f>
        <v>16</v>
      </c>
      <c r="O501" s="2688">
        <f>SUM(O494:O500)</f>
        <v>8</v>
      </c>
      <c r="P501" s="2688">
        <f t="shared" si="344"/>
        <v>63</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2</v>
      </c>
      <c r="M502" s="2688">
        <f>BI487</f>
        <v>4</v>
      </c>
      <c r="N502" s="2688">
        <f>BJ487</f>
        <v>2</v>
      </c>
      <c r="O502" s="2688">
        <f>BK487</f>
        <v>1</v>
      </c>
      <c r="P502" s="2688">
        <f t="shared" si="344"/>
        <v>9</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18</v>
      </c>
      <c r="M503" s="2693">
        <f>SUM(M501:M502)</f>
        <v>27</v>
      </c>
      <c r="N503" s="2693">
        <f>SUM(N501:N502)</f>
        <v>18</v>
      </c>
      <c r="O503" s="2693">
        <f>SUM(O501:O502)</f>
        <v>9</v>
      </c>
      <c r="P503" s="2693">
        <f t="shared" si="344"/>
        <v>72</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18</v>
      </c>
      <c r="M505" s="2694">
        <f>SUM(M503:M504)</f>
        <v>27</v>
      </c>
      <c r="N505" s="2694">
        <f>SUM(N503:N504)</f>
        <v>18</v>
      </c>
      <c r="O505" s="2694">
        <f>SUM(O503:O504)</f>
        <v>9</v>
      </c>
      <c r="P505" s="2694">
        <f t="shared" si="344"/>
        <v>72</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0.66666666666666663</v>
      </c>
      <c r="M514" s="2697">
        <f t="shared" si="349"/>
        <v>0.66666666666666663</v>
      </c>
      <c r="N514" s="2697">
        <f t="shared" si="349"/>
        <v>0.66666666666666663</v>
      </c>
      <c r="O514" s="2697">
        <f t="shared" si="349"/>
        <v>0.66666666666666663</v>
      </c>
      <c r="P514" s="2697">
        <f t="shared" si="349"/>
        <v>0.66666666666666663</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f>IF(OR(L496=0,P514="",L505=0),"",P514*L505)</f>
        <v>12</v>
      </c>
      <c r="M515" s="2698">
        <f>IF(OR(M496=0,P514="",M505=0),"",P514*M505)</f>
        <v>18</v>
      </c>
      <c r="N515" s="2698">
        <f>IF(OR(N496=0,P514="",N505=0),"",P514*N505)</f>
        <v>12</v>
      </c>
      <c r="O515" s="2698">
        <f>IF(OR(O496=0,P514="",O505=0),"",P514*O505)</f>
        <v>6</v>
      </c>
      <c r="P515" s="2698">
        <f>IF(OR(P514="",P505=0),"",P514*P505)</f>
        <v>48</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f t="shared" si="350"/>
        <v>0</v>
      </c>
      <c r="M516" s="2698">
        <f t="shared" si="350"/>
        <v>0</v>
      </c>
      <c r="N516" s="2698">
        <f t="shared" si="350"/>
        <v>0</v>
      </c>
      <c r="O516" s="2698">
        <f t="shared" si="350"/>
        <v>0</v>
      </c>
      <c r="P516" s="2698">
        <f t="shared" si="350"/>
        <v>0</v>
      </c>
    </row>
    <row r="517" spans="3:23">
      <c r="C517" s="360" t="s">
        <v>3937</v>
      </c>
      <c r="D517" s="360"/>
      <c r="E517" s="360"/>
      <c r="H517" s="1418" t="s">
        <v>112</v>
      </c>
      <c r="I517" s="361"/>
      <c r="J517" s="358"/>
      <c r="K517" s="2697" t="str">
        <f t="shared" ref="K517:P517" si="351">IF(OR(K497=0,K505=0),"",K497/K505)</f>
        <v/>
      </c>
      <c r="L517" s="2697">
        <f t="shared" si="351"/>
        <v>0.22222222222222221</v>
      </c>
      <c r="M517" s="2697">
        <f t="shared" si="351"/>
        <v>0.18518518518518517</v>
      </c>
      <c r="N517" s="2697">
        <f t="shared" si="351"/>
        <v>0.22222222222222221</v>
      </c>
      <c r="O517" s="2697">
        <f t="shared" si="351"/>
        <v>0.22222222222222221</v>
      </c>
      <c r="P517" s="2697">
        <f t="shared" si="351"/>
        <v>0.20833333333333334</v>
      </c>
    </row>
    <row r="518" spans="3:23">
      <c r="C518" s="360"/>
      <c r="D518" s="360"/>
      <c r="E518" s="360"/>
      <c r="H518" s="1418" t="s">
        <v>5083</v>
      </c>
      <c r="I518" s="361"/>
      <c r="J518" s="358"/>
      <c r="K518" s="2698" t="str">
        <f>IF(OR(K497=0,P517="",K505=0),"",P517*K505)</f>
        <v/>
      </c>
      <c r="L518" s="2698">
        <f>IF(OR(L497=0,P517="",L505=0),"",P517*L505)</f>
        <v>3.75</v>
      </c>
      <c r="M518" s="2698">
        <f>IF(OR(M497=0,P517="",M505=0),"",P517*M505)</f>
        <v>5.625</v>
      </c>
      <c r="N518" s="2698">
        <f>IF(OR(N497=0,P517="",N505=0),"",P517*N505)</f>
        <v>3.75</v>
      </c>
      <c r="O518" s="2698">
        <f>IF(OR(O497=0,P517="",O505=0),"",P517*O505)</f>
        <v>1.875</v>
      </c>
      <c r="P518" s="2698">
        <f>IF(OR(P517="",P505=0),"",P517*P505)</f>
        <v>15</v>
      </c>
    </row>
    <row r="519" spans="3:23">
      <c r="C519" s="360"/>
      <c r="D519" s="360"/>
      <c r="E519" s="360"/>
      <c r="G519" s="2680"/>
      <c r="H519" s="1418" t="s">
        <v>5084</v>
      </c>
      <c r="I519" s="361"/>
      <c r="J519" s="358"/>
      <c r="K519" s="2698" t="str">
        <f t="shared" ref="K519:P519" si="352">IF(OR(K518="",K497=0),"", K497-K518)</f>
        <v/>
      </c>
      <c r="L519" s="2698">
        <f t="shared" si="352"/>
        <v>0.25</v>
      </c>
      <c r="M519" s="2698">
        <f t="shared" si="352"/>
        <v>-0.625</v>
      </c>
      <c r="N519" s="2698">
        <f t="shared" si="352"/>
        <v>0.25</v>
      </c>
      <c r="O519" s="2698">
        <f t="shared" si="352"/>
        <v>0.125</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5086</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4828</v>
      </c>
      <c r="F551" s="358"/>
      <c r="H551" s="1418" t="s">
        <v>1341</v>
      </c>
      <c r="I551" s="361"/>
      <c r="K551" s="2688">
        <f>GG487</f>
        <v>0</v>
      </c>
      <c r="L551" s="2688">
        <f>GH487</f>
        <v>16</v>
      </c>
      <c r="M551" s="2688">
        <f>GI487</f>
        <v>23</v>
      </c>
      <c r="N551" s="2688">
        <f>GJ487</f>
        <v>16</v>
      </c>
      <c r="O551" s="2688">
        <f>GK487</f>
        <v>8</v>
      </c>
      <c r="P551" s="2688">
        <f t="shared" ref="P551:P561" si="361">SUM(K551:O551)</f>
        <v>63</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2</v>
      </c>
      <c r="M552" s="2688">
        <f>GN487</f>
        <v>4</v>
      </c>
      <c r="N552" s="2688">
        <f>GO487</f>
        <v>2</v>
      </c>
      <c r="O552" s="2688">
        <f>GP487</f>
        <v>1</v>
      </c>
      <c r="P552" s="2688">
        <f t="shared" si="361"/>
        <v>9</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18</v>
      </c>
      <c r="M553" s="2694">
        <f>SUM(M551:M552)+GS487</f>
        <v>27</v>
      </c>
      <c r="N553" s="2694">
        <f>SUM(N551:N552)+GT487</f>
        <v>18</v>
      </c>
      <c r="O553" s="2694">
        <f>SUM(O551:O552)+GU487</f>
        <v>9</v>
      </c>
      <c r="P553" s="2694">
        <f t="shared" si="361"/>
        <v>72</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f>'Part V-Revenues &amp; Expenses'!K127</f>
        <v>0</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18</v>
      </c>
      <c r="M569" s="2694">
        <f t="shared" si="362"/>
        <v>27</v>
      </c>
      <c r="N569" s="2694">
        <f t="shared" si="362"/>
        <v>18</v>
      </c>
      <c r="O569" s="2694">
        <f t="shared" si="362"/>
        <v>9</v>
      </c>
      <c r="P569" s="2694">
        <f t="shared" si="362"/>
        <v>72</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18</v>
      </c>
      <c r="M570" s="2688">
        <f>JU487</f>
        <v>27</v>
      </c>
      <c r="N570" s="2688">
        <f>JV487</f>
        <v>18</v>
      </c>
      <c r="O570" s="2688">
        <f>JW487</f>
        <v>9</v>
      </c>
      <c r="P570" s="2688">
        <f t="shared" ref="P570:P585" si="363">SUM(K570:O570)</f>
        <v>72</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18</v>
      </c>
      <c r="M593" s="2688">
        <f t="shared" si="367"/>
        <v>27</v>
      </c>
      <c r="N593" s="2688">
        <f t="shared" si="367"/>
        <v>18</v>
      </c>
      <c r="O593" s="2688">
        <f t="shared" si="367"/>
        <v>9</v>
      </c>
      <c r="P593" s="2694">
        <f t="shared" si="365"/>
        <v>72</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8652</v>
      </c>
      <c r="M601" s="2713">
        <f>EU487</f>
        <v>17442</v>
      </c>
      <c r="N601" s="2713">
        <f>EV487</f>
        <v>14400</v>
      </c>
      <c r="O601" s="2713">
        <f>EW487</f>
        <v>8298</v>
      </c>
      <c r="P601" s="2713">
        <f t="shared" si="368"/>
        <v>48792</v>
      </c>
      <c r="Q601" s="2698">
        <f>'Part V-Revenues &amp; Expenses'!Q163</f>
        <v>1016.5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2884</v>
      </c>
      <c r="M602" s="2713">
        <f>EZ487</f>
        <v>4845</v>
      </c>
      <c r="N602" s="2713">
        <f>FA487</f>
        <v>4800</v>
      </c>
      <c r="O602" s="2713">
        <f>FB487</f>
        <v>2766</v>
      </c>
      <c r="P602" s="2713">
        <f t="shared" si="368"/>
        <v>15295</v>
      </c>
      <c r="Q602" s="2698">
        <f>'Part V-Revenues &amp; Expenses'!Q164</f>
        <v>1019.6666666666666</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11536</v>
      </c>
      <c r="M606" s="2714">
        <f>SUM(M599:M605)</f>
        <v>22287</v>
      </c>
      <c r="N606" s="2714">
        <f>SUM(N599:N605)</f>
        <v>19200</v>
      </c>
      <c r="O606" s="2714">
        <f>SUM(O599:O605)</f>
        <v>11064</v>
      </c>
      <c r="P606" s="2714">
        <f>SUM(K606:O606)</f>
        <v>64087</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1442</v>
      </c>
      <c r="M607" s="2713">
        <f>FT487</f>
        <v>3876</v>
      </c>
      <c r="N607" s="2713">
        <f>FU487</f>
        <v>2400</v>
      </c>
      <c r="O607" s="2713">
        <f>FV487</f>
        <v>1383</v>
      </c>
      <c r="P607" s="2713">
        <f>SUM(K607:O607)</f>
        <v>9101</v>
      </c>
      <c r="Q607" s="2698">
        <f>'Part V-Revenues &amp; Expenses'!Q169</f>
        <v>1011.2222222222222</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12978</v>
      </c>
      <c r="M608" s="2716">
        <f>SUM(M606:M607)</f>
        <v>26163</v>
      </c>
      <c r="N608" s="2716">
        <f>SUM(N606:N607)</f>
        <v>21600</v>
      </c>
      <c r="O608" s="2716">
        <f>SUM(O606:O607)</f>
        <v>12447</v>
      </c>
      <c r="P608" s="2716">
        <f>SUM(K608:O608)</f>
        <v>73188</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12978</v>
      </c>
      <c r="M610" s="2717">
        <f>SUM(M608:M609)</f>
        <v>26163</v>
      </c>
      <c r="N610" s="2717">
        <f>SUM(N608:N609)</f>
        <v>21600</v>
      </c>
      <c r="O610" s="2717">
        <f>SUM(O608:O609)</f>
        <v>12447</v>
      </c>
      <c r="P610" s="2717">
        <f>SUM(K610:O610)</f>
        <v>73188</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f>'Part V-Revenues &amp; Expenses'!L175</f>
        <v>721</v>
      </c>
      <c r="M613" s="2718">
        <f>'Part V-Revenues &amp; Expenses'!M175</f>
        <v>969</v>
      </c>
      <c r="N613" s="2718">
        <f>'Part V-Revenues &amp; Expenses'!N175</f>
        <v>1200</v>
      </c>
      <c r="O613" s="2718">
        <f>'Part V-Revenues &amp; Expenses'!O175</f>
        <v>1383</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12915.529411764708</v>
      </c>
      <c r="L616" s="2533"/>
      <c r="Z616" s="1534">
        <v>68</v>
      </c>
    </row>
    <row r="617" spans="1:380" s="1729" customFormat="1" ht="13.35" customHeight="1">
      <c r="A617" s="2502"/>
      <c r="C617" s="376" t="s">
        <v>242</v>
      </c>
      <c r="K617" s="2533">
        <f>P610+K616</f>
        <v>86103.529411764714</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7200.0000000000009</v>
      </c>
      <c r="I621" s="2720"/>
      <c r="J621" s="2705" t="s">
        <v>5093</v>
      </c>
      <c r="M621" s="1418"/>
      <c r="N621" s="1418"/>
      <c r="O621" s="1418"/>
      <c r="P621" s="2721">
        <f>IF(M488=0,0,H621/M488)</f>
        <v>8.1427698988939413E-3</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41451</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62400</v>
      </c>
      <c r="G663" s="2713"/>
      <c r="I663" s="358" t="s">
        <v>1298</v>
      </c>
      <c r="L663" s="2713">
        <f>'Part V-Revenues &amp; Expenses'!L225</f>
        <v>0</v>
      </c>
      <c r="M663" s="2713"/>
      <c r="O663" s="2733">
        <f>+Q662/(P505*0.93)</f>
        <v>619.04121863799276</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52000</v>
      </c>
      <c r="G664" s="2713"/>
      <c r="I664" s="358" t="s">
        <v>1299</v>
      </c>
      <c r="L664" s="2713">
        <f>'Part V-Revenues &amp; Expenses'!L226</f>
        <v>6000</v>
      </c>
      <c r="M664" s="2713"/>
      <c r="O664" s="2733">
        <f>+Q662/(P505*0.93)/12</f>
        <v>51.586768219832727</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6000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FICA,WC,Bonus, etc.</v>
      </c>
      <c r="C668" s="361"/>
      <c r="D668" s="361"/>
      <c r="E668" s="361"/>
      <c r="F668" s="2713">
        <f>'Part V-Revenues &amp; Expenses'!F230</f>
        <v>28600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143000</v>
      </c>
      <c r="G669" s="2713"/>
      <c r="I669" s="358" t="s">
        <v>1495</v>
      </c>
      <c r="L669" s="2713">
        <f>'Part V-Revenues &amp; Expenses'!L231</f>
        <v>1800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12500</v>
      </c>
      <c r="M670" s="2713"/>
      <c r="N670" s="1546" t="str">
        <f>IF(Q672="","",IF(Q670&lt;Q672, "WARNING! OE below required minimum.",""))</f>
        <v/>
      </c>
      <c r="O670" s="1657" t="s">
        <v>2024</v>
      </c>
      <c r="Q670" s="2718">
        <f>F669+F678+F689+L665+L673+L683+L689+Q662</f>
        <v>497839</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1800</v>
      </c>
      <c r="M671" s="2713"/>
      <c r="N671" s="1546"/>
      <c r="O671" s="2692" t="s">
        <v>2479</v>
      </c>
      <c r="P671" s="2733">
        <f>+Q670/P505</f>
        <v>6914.4305555555557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14400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5000</v>
      </c>
      <c r="G673" s="2713"/>
      <c r="I673" s="1657"/>
      <c r="K673" s="2734" t="s">
        <v>184</v>
      </c>
      <c r="L673" s="2718">
        <f>SUM(L669:L672)</f>
        <v>16100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28800</v>
      </c>
      <c r="G676" s="2713"/>
      <c r="I676" s="1657" t="s">
        <v>1295</v>
      </c>
      <c r="K676" s="1534" t="s">
        <v>3760</v>
      </c>
      <c r="O676" s="1657" t="s">
        <v>3000</v>
      </c>
      <c r="P676" s="1657"/>
      <c r="Q676" s="2738">
        <f>Q685</f>
        <v>21600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16.666666666666668</v>
      </c>
      <c r="L677" s="2713">
        <f>'Part V-Revenues &amp; Expenses'!L239</f>
        <v>14400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48200</v>
      </c>
      <c r="G678" s="2713"/>
      <c r="I678" s="358" t="s">
        <v>1289</v>
      </c>
      <c r="K678" s="2598">
        <f>L678/12/P505</f>
        <v>0</v>
      </c>
      <c r="L678" s="2713">
        <f>'Part V-Revenues &amp; Expenses'!L240</f>
        <v>0</v>
      </c>
      <c r="M678" s="2713"/>
      <c r="N678" s="1546"/>
      <c r="O678" s="2740" t="s">
        <v>3146</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11.805555555555555</v>
      </c>
      <c r="L679" s="2713">
        <f>'Part V-Revenues &amp; Expenses'!L241</f>
        <v>10200</v>
      </c>
      <c r="M679" s="2713"/>
      <c r="N679" s="1546"/>
      <c r="O679" s="2741" t="s">
        <v>2457</v>
      </c>
      <c r="P679" s="2742" t="s">
        <v>3200</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15.888888888888889</v>
      </c>
      <c r="L680" s="2713">
        <f>'Part V-Revenues &amp; Expenses'!L242</f>
        <v>13728</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0</v>
      </c>
      <c r="G681" s="2713"/>
      <c r="I681" s="358" t="s">
        <v>5096</v>
      </c>
      <c r="K681" s="2598">
        <f>L681/12/P505</f>
        <v>3.4722222222222223</v>
      </c>
      <c r="L681" s="2713">
        <f>'Part V-Revenues &amp; Expenses'!L243</f>
        <v>3000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19800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72 units x $300 =</v>
      </c>
      <c r="Q682" s="2743">
        <f>SUM(MK487:MO487)*'DCA Underwriting Assumptions'!$Q$42</f>
        <v>21600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15000</v>
      </c>
      <c r="G683" s="2713"/>
      <c r="K683" s="2734" t="s">
        <v>184</v>
      </c>
      <c r="L683" s="2718">
        <f>SUM(L677:L682)</f>
        <v>41328</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3600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10800</v>
      </c>
      <c r="G685" s="2713"/>
      <c r="I685" s="1657" t="s">
        <v>1296</v>
      </c>
      <c r="O685" s="2682" t="s">
        <v>2460</v>
      </c>
      <c r="P685" s="2672">
        <f>SUM(MF487:MJ487)+SUM(MK487:MO487)+SUM(MP487:MT487)+P563</f>
        <v>72</v>
      </c>
      <c r="Q685" s="2744">
        <f>SUM(Q681:Q684)</f>
        <v>21600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5097</v>
      </c>
      <c r="L686" s="2713">
        <f>'Part V-Revenues &amp; Expenses'!L248</f>
        <v>55000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10800</v>
      </c>
      <c r="G687" s="2713"/>
      <c r="I687" s="358" t="s">
        <v>140</v>
      </c>
      <c r="L687" s="2713">
        <f>'Part V-Revenues &amp; Expenses'!L249</f>
        <v>81360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Decorating</v>
      </c>
      <c r="C688" s="361"/>
      <c r="D688" s="361"/>
      <c r="E688" s="361"/>
      <c r="F688" s="2713">
        <f>'Part V-Revenues &amp; Expenses'!F250</f>
        <v>5400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65400</v>
      </c>
      <c r="G689" s="2713"/>
      <c r="K689" s="2734" t="s">
        <v>184</v>
      </c>
      <c r="L689" s="2718">
        <f>SUM(L685:L688)</f>
        <v>136360</v>
      </c>
      <c r="M689" s="2718"/>
      <c r="O689" s="1657" t="s">
        <v>2025</v>
      </c>
      <c r="Q689" s="2718">
        <f>Q670+Q676</f>
        <v>519439</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 xml:space="preserve">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v>
      </c>
      <c r="B698" s="2518"/>
      <c r="C698" s="2518"/>
      <c r="D698" s="2518"/>
      <c r="E698" s="2518"/>
      <c r="F698" s="2518"/>
      <c r="G698" s="2518"/>
      <c r="H698" s="2518"/>
      <c r="I698" s="2518"/>
      <c r="J698" s="2518"/>
      <c r="K698" s="2518"/>
      <c r="L698" s="2518"/>
      <c r="M698" s="2518"/>
      <c r="N698" s="2518"/>
      <c r="O698" s="2518"/>
      <c r="P698" s="2518"/>
      <c r="Q698" s="2518"/>
      <c r="R698" s="2746" t="s">
        <v>3286</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Flats at Lake View II,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0.05</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884220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7200.0000000000009</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-456388</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-21600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-223040.9030825861</v>
      </c>
      <c r="C726" s="2757">
        <f>'Part VI-Pro Forma'!C26</f>
        <v>-223040.9030825861</v>
      </c>
      <c r="D726" s="2757">
        <f>'Part VI-Pro Forma'!D26</f>
        <v>-223040.9030825861</v>
      </c>
      <c r="E726" s="2757">
        <f>'Part VI-Pro Forma'!E26</f>
        <v>-223040.9030825861</v>
      </c>
      <c r="F726" s="2757">
        <f>'Part VI-Pro Forma'!F26</f>
        <v>-223040.9030825861</v>
      </c>
      <c r="G726" s="2757">
        <f>'Part VI-Pro Forma'!G26</f>
        <v>-223040.9030825861</v>
      </c>
      <c r="H726" s="2757">
        <f>'Part VI-Pro Forma'!H26</f>
        <v>-223040.9030825861</v>
      </c>
      <c r="I726" s="2757">
        <f>'Part VI-Pro Forma'!I26</f>
        <v>-223040.9030825861</v>
      </c>
      <c r="J726" s="2757">
        <f>'Part VI-Pro Forma'!J26</f>
        <v>-223040.9030825861</v>
      </c>
      <c r="K726" s="2757">
        <f>'Part VI-Pro Forma'!K26</f>
        <v>-223040.9030825861</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3201</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-5150</v>
      </c>
      <c r="D731" s="2757">
        <f>'Part VI-Pro Forma'!D31</f>
        <v>-5304.5</v>
      </c>
      <c r="E731" s="2757">
        <f>'Part VI-Pro Forma'!E31</f>
        <v>-5463.6350000000002</v>
      </c>
      <c r="F731" s="2757">
        <f>'Part VI-Pro Forma'!F31</f>
        <v>-5627.5440500000004</v>
      </c>
      <c r="G731" s="2757">
        <f>'Part VI-Pro Forma'!G31</f>
        <v>-5796.3703715000001</v>
      </c>
      <c r="H731" s="2757">
        <f>'Part VI-Pro Forma'!H31</f>
        <v>-5970.2614826449999</v>
      </c>
      <c r="I731" s="2757">
        <f>'Part VI-Pro Forma'!I31</f>
        <v>-6149.3693271243501</v>
      </c>
      <c r="J731" s="2757">
        <f>'Part VI-Pro Forma'!J31</f>
        <v>-6333.8504069380806</v>
      </c>
      <c r="K731" s="2757">
        <f>'Part VI-Pro Forma'!K31</f>
        <v>-6523.865919146223</v>
      </c>
    </row>
    <row r="732" spans="1:11">
      <c r="A732" s="356" t="s">
        <v>3274</v>
      </c>
      <c r="B732" s="2757">
        <f>'Part VI-Pro Forma'!B32</f>
        <v>-27763.93104673177</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2838027.365205816</v>
      </c>
      <c r="C740" s="2757">
        <f>'Part VI-Pro Forma'!C40</f>
        <v>2825135.5174918994</v>
      </c>
      <c r="D740" s="2757">
        <f>'Part VI-Pro Forma'!D40</f>
        <v>2811253.883220423</v>
      </c>
      <c r="E740" s="2757">
        <f>'Part VI-Pro Forma'!E40</f>
        <v>2796306.4703806783</v>
      </c>
      <c r="F740" s="2757">
        <f>'Part VI-Pro Forma'!F40</f>
        <v>2780211.4525872148</v>
      </c>
      <c r="G740" s="2757">
        <f>'Part VI-Pro Forma'!G40</f>
        <v>2762880.7211389537</v>
      </c>
      <c r="H740" s="2757">
        <f>'Part VI-Pro Forma'!H40</f>
        <v>2744219.4026871207</v>
      </c>
      <c r="I740" s="2757">
        <f>'Part VI-Pro Forma'!I40</f>
        <v>2724125.3398715742</v>
      </c>
      <c r="J740" s="2757">
        <f>'Part VI-Pro Forma'!J40</f>
        <v>2702488.5320823868</v>
      </c>
      <c r="K740" s="2757">
        <f>'Part VI-Pro Forma'!K40</f>
        <v>2679190.5332852472</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3275</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-223040.9030825861</v>
      </c>
      <c r="C758" s="2757">
        <f>'Part VI-Pro Forma'!C58</f>
        <v>-223040.9030825861</v>
      </c>
      <c r="D758" s="2757">
        <f>'Part VI-Pro Forma'!D58</f>
        <v>-223040.9030825861</v>
      </c>
      <c r="E758" s="2757">
        <f>'Part VI-Pro Forma'!E58</f>
        <v>-223040.9030825861</v>
      </c>
      <c r="F758" s="2757">
        <f>'Part VI-Pro Forma'!F58</f>
        <v>-223040.9030825861</v>
      </c>
      <c r="G758" s="2757">
        <f>'Part VI-Pro Forma'!G58</f>
        <v>-223040.9030825861</v>
      </c>
      <c r="H758" s="2757">
        <f>'Part VI-Pro Forma'!H58</f>
        <v>-223040.9030825861</v>
      </c>
      <c r="I758" s="2757">
        <f>'Part VI-Pro Forma'!I58</f>
        <v>-223040.9030825861</v>
      </c>
      <c r="J758" s="2757">
        <f>'Part VI-Pro Forma'!J58</f>
        <v>-223040.9030825861</v>
      </c>
      <c r="K758" s="2757">
        <f>'Part VI-Pro Forma'!K58</f>
        <v>-223040.9030825861</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-6719.5818967206096</v>
      </c>
      <c r="C763" s="2757">
        <f>'Part VI-Pro Forma'!C63</f>
        <v>-6921.1693536222283</v>
      </c>
      <c r="D763" s="2757">
        <f>'Part VI-Pro Forma'!D63</f>
        <v>-7128.8044342308949</v>
      </c>
      <c r="E763" s="2757">
        <f>'Part VI-Pro Forma'!E63</f>
        <v>-7342.6685672578224</v>
      </c>
      <c r="F763" s="2757">
        <f>'Part VI-Pro Forma'!F63</f>
        <v>-7562.9486242755574</v>
      </c>
      <c r="G763" s="2757">
        <f>'Part VI-Pro Forma'!G63</f>
        <v>0</v>
      </c>
      <c r="H763" s="2757">
        <f>'Part VI-Pro Forma'!H63</f>
        <v>0</v>
      </c>
      <c r="I763" s="2757">
        <f>'Part VI-Pro Forma'!I63</f>
        <v>0</v>
      </c>
      <c r="J763" s="2757">
        <f>'Part VI-Pro Forma'!J63</f>
        <v>0</v>
      </c>
      <c r="K763" s="2757">
        <f>'Part VI-Pro Forma'!K63</f>
        <v>0</v>
      </c>
    </row>
    <row r="764" spans="1:11">
      <c r="A764" s="356" t="s">
        <v>3274</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2654103.8036142113</v>
      </c>
      <c r="C772" s="2757">
        <f>'Part VI-Pro Forma'!C72</f>
        <v>2627091.0111822318</v>
      </c>
      <c r="D772" s="2757">
        <f>'Part VI-Pro Forma'!D72</f>
        <v>2598004.2802873845</v>
      </c>
      <c r="E772" s="2757">
        <f>'Part VI-Pro Forma'!E72</f>
        <v>2566684.3818992535</v>
      </c>
      <c r="F772" s="2757">
        <f>'Part VI-Pro Forma'!F72</f>
        <v>2532959.8619939717</v>
      </c>
      <c r="G772" s="2757">
        <f>'Part VI-Pro Forma'!G72</f>
        <v>2496646.1029661731</v>
      </c>
      <c r="H772" s="2757">
        <f>'Part VI-Pro Forma'!H72</f>
        <v>2457544.3129797569</v>
      </c>
      <c r="I772" s="2757">
        <f>'Part VI-Pro Forma'!I72</f>
        <v>2415440.4377248879</v>
      </c>
      <c r="J772" s="2757">
        <f>'Part VI-Pro Forma'!J72</f>
        <v>2370103.9886238775</v>
      </c>
      <c r="K772" s="2757">
        <f>'Part VI-Pro Forma'!K72</f>
        <v>2321286.7810712112</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3275</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-223040.9030825861</v>
      </c>
      <c r="C790" s="2757">
        <f>'Part VI-Pro Forma'!C90</f>
        <v>-223040.9030825861</v>
      </c>
      <c r="D790" s="2757">
        <f>'Part VI-Pro Forma'!D90</f>
        <v>-223040.9030825861</v>
      </c>
      <c r="E790" s="2757">
        <f>'Part VI-Pro Forma'!E90</f>
        <v>-223040.9030825861</v>
      </c>
      <c r="F790" s="2757">
        <f>'Part VI-Pro Forma'!F90</f>
        <v>-223040.9030825861</v>
      </c>
      <c r="G790" s="2757">
        <f>'Part VI-Pro Forma'!G90</f>
        <v>-223040.9030825861</v>
      </c>
      <c r="H790" s="2757">
        <f>'Part VI-Pro Forma'!H90</f>
        <v>-223040.9030825861</v>
      </c>
      <c r="I790" s="2757">
        <f>'Part VI-Pro Forma'!I90</f>
        <v>-223040.9030825861</v>
      </c>
      <c r="J790" s="2757">
        <f>'Part VI-Pro Forma'!J90</f>
        <v>-223040.9030825861</v>
      </c>
      <c r="K790" s="2757">
        <f>'Part VI-Pro Forma'!K90</f>
        <v>-223040.9030825861</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0</v>
      </c>
      <c r="C795" s="2757">
        <f>'Part VI-Pro Forma'!C95</f>
        <v>0</v>
      </c>
      <c r="D795" s="2757">
        <f>'Part VI-Pro Forma'!D95</f>
        <v>0</v>
      </c>
      <c r="E795" s="2757">
        <f>'Part VI-Pro Forma'!E95</f>
        <v>0</v>
      </c>
      <c r="F795" s="2757">
        <f>'Part VI-Pro Forma'!F95</f>
        <v>0</v>
      </c>
      <c r="G795" s="2757">
        <f>'Part VI-Pro Forma'!G95</f>
        <v>0</v>
      </c>
      <c r="H795" s="2757">
        <f>'Part VI-Pro Forma'!H95</f>
        <v>0</v>
      </c>
      <c r="I795" s="2757">
        <f>'Part VI-Pro Forma'!I95</f>
        <v>0</v>
      </c>
      <c r="J795" s="2757">
        <f>'Part VI-Pro Forma'!J95</f>
        <v>0</v>
      </c>
      <c r="K795" s="2757">
        <f>'Part VI-Pro Forma'!K95</f>
        <v>0</v>
      </c>
    </row>
    <row r="796" spans="1:11">
      <c r="A796" s="356" t="s">
        <v>1095</v>
      </c>
      <c r="B796" s="2757">
        <f>'Part VI-Pro Forma'!B96</f>
        <v>83946.601862663083</v>
      </c>
      <c r="C796" s="2757">
        <f>'Part VI-Pro Forma'!C96</f>
        <v>81453.236993196566</v>
      </c>
      <c r="D796" s="2757">
        <f>'Part VI-Pro Forma'!D96</f>
        <v>78651.654977289349</v>
      </c>
      <c r="E796" s="2757">
        <f>'Part VI-Pro Forma'!E96</f>
        <v>75526.401776541054</v>
      </c>
      <c r="F796" s="2757">
        <f>'Part VI-Pro Forma'!F96</f>
        <v>72064.521180920157</v>
      </c>
      <c r="G796" s="2757">
        <f>'Part VI-Pro Forma'!G96</f>
        <v>68249.537772602547</v>
      </c>
      <c r="H796" s="2757">
        <f>'Part VI-Pro Forma'!H96</f>
        <v>64067.439339310658</v>
      </c>
      <c r="I796" s="2757">
        <f>'Part VI-Pro Forma'!I96</f>
        <v>59501.658719840896</v>
      </c>
      <c r="J796" s="2757">
        <f>'Part VI-Pro Forma'!J96</f>
        <v>54535.055063944863</v>
      </c>
      <c r="K796" s="2757">
        <f>'Part VI-Pro Forma'!K96</f>
        <v>49149.894488172518</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2268721.5758004924</v>
      </c>
      <c r="C803" s="2757">
        <f>'Part VI-Pro Forma'!C103</f>
        <v>2212120.615940758</v>
      </c>
      <c r="D803" s="2757">
        <f>'Part VI-Pro Forma'!D103</f>
        <v>2151174.0517535945</v>
      </c>
      <c r="E803" s="2757">
        <f>'Part VI-Pro Forma'!E103</f>
        <v>2085548.2444276221</v>
      </c>
      <c r="F803" s="2757">
        <f>'Part VI-Pro Forma'!F103</f>
        <v>2014883.9396448315</v>
      </c>
      <c r="G803" s="2757">
        <f>'Part VI-Pro Forma'!G103</f>
        <v>1938794.3009203577</v>
      </c>
      <c r="H803" s="2757">
        <f>'Part VI-Pro Forma'!H103</f>
        <v>1856862.7919496377</v>
      </c>
      <c r="I803" s="2757">
        <f>'Part VI-Pro Forma'!I103</f>
        <v>1768640.8963703113</v>
      </c>
      <c r="J803" s="2757">
        <f>'Part VI-Pro Forma'!J103</f>
        <v>1673645.6624562012</v>
      </c>
      <c r="K803" s="2757">
        <f>'Part VI-Pro Forma'!K103</f>
        <v>1571357.0593023242</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-223040.9030825861</v>
      </c>
      <c r="C820" s="2757">
        <f>'Part VI-Pro Forma'!C120</f>
        <v>-223040.9030825861</v>
      </c>
      <c r="D820" s="2757">
        <f>'Part VI-Pro Forma'!D120</f>
        <v>-223040.9030825861</v>
      </c>
      <c r="E820" s="2757">
        <f>'Part VI-Pro Forma'!E120</f>
        <v>-223040.9030825861</v>
      </c>
      <c r="F820" s="2757">
        <f>'Part VI-Pro Forma'!F120</f>
        <v>-223040.9030825861</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1461215.1300279417</v>
      </c>
      <c r="C833" s="2757">
        <f>'Part VI-Pro Forma'!C133</f>
        <v>1342616.926413473</v>
      </c>
      <c r="D833" s="2757">
        <f>'Part VI-Pro Forma'!D133</f>
        <v>1214913.2081906034</v>
      </c>
      <c r="E833" s="2757">
        <f>'Part VI-Pro Forma'!E133</f>
        <v>1077404.8889165628</v>
      </c>
      <c r="F833" s="2757">
        <f>'Part VI-Pro Forma'!F133</f>
        <v>929339.20897627959</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Flats at Lake View II,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5100</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5101</v>
      </c>
      <c r="C882" s="2484"/>
      <c r="D882" s="2484"/>
      <c r="E882" s="2484"/>
      <c r="F882" s="2484"/>
      <c r="G882" s="2484"/>
      <c r="H882" s="2484"/>
      <c r="I882" s="2484"/>
      <c r="J882" s="2484"/>
      <c r="K882" s="2484"/>
      <c r="L882" s="2484"/>
      <c r="M882" s="2484"/>
      <c r="N882" s="2484"/>
      <c r="O882" s="2484"/>
      <c r="P882" s="2489">
        <f>'Part VII-Threshold Criteria'!P39</f>
        <v>0</v>
      </c>
      <c r="Q882" s="2489"/>
    </row>
    <row r="883" spans="1:17" ht="14.25">
      <c r="A883" s="2484"/>
      <c r="B883" s="2776" t="s">
        <v>3156</v>
      </c>
      <c r="C883" s="2484"/>
      <c r="D883" s="2776"/>
      <c r="E883" s="2776"/>
      <c r="F883" s="2776"/>
      <c r="G883" s="2776"/>
      <c r="H883" s="2485"/>
      <c r="I883" s="2486"/>
      <c r="J883" s="2486"/>
      <c r="K883" s="2484"/>
      <c r="L883" s="2484"/>
      <c r="M883" s="2484"/>
      <c r="N883" s="2484"/>
      <c r="O883" s="2484"/>
      <c r="P883" s="2484"/>
      <c r="Q883" s="2484"/>
    </row>
    <row r="884" spans="1:17" ht="14.25">
      <c r="A884" s="2484">
        <f>'Part VII-Threshold Criteria'!A41</f>
        <v>0</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5016</v>
      </c>
      <c r="C890" s="2773"/>
      <c r="D890" s="2485"/>
      <c r="E890" s="2485"/>
      <c r="F890" s="2485"/>
      <c r="G890" s="2485"/>
      <c r="H890" s="2485"/>
      <c r="I890" s="2485"/>
      <c r="J890" s="2485"/>
      <c r="K890" s="2484"/>
      <c r="L890" s="2777"/>
      <c r="M890" s="2778"/>
      <c r="N890" s="2484"/>
      <c r="O890" s="2774"/>
      <c r="P890" s="2489">
        <f>'Part VII-Threshold Criteria'!P47</f>
        <v>0</v>
      </c>
      <c r="Q890" s="2489"/>
    </row>
    <row r="891" spans="1:17" ht="15">
      <c r="A891" s="2484"/>
      <c r="B891" s="2776" t="s">
        <v>3156</v>
      </c>
      <c r="C891" s="2484"/>
      <c r="D891" s="2776"/>
      <c r="E891" s="2776"/>
      <c r="F891" s="2776"/>
      <c r="G891" s="2776"/>
      <c r="H891" s="2485"/>
      <c r="I891" s="2486"/>
      <c r="J891" s="2486"/>
      <c r="K891" s="2775" t="s">
        <v>1725</v>
      </c>
      <c r="L891" s="2487"/>
      <c r="M891" s="2487"/>
      <c r="N891" s="2487"/>
      <c r="O891" s="2487"/>
      <c r="P891" s="2487"/>
      <c r="Q891" s="2487"/>
    </row>
    <row r="892" spans="1:17" ht="14.25">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f>'Part VII-Threshold Criteria'!I53</f>
        <v>0</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0</v>
      </c>
      <c r="J898" s="2484"/>
      <c r="K898" s="2484"/>
      <c r="L898" s="2780"/>
      <c r="M898" s="2781" t="s">
        <v>4661</v>
      </c>
      <c r="N898" s="2484">
        <f>'Part VII-Threshold Criteria'!N55</f>
        <v>0</v>
      </c>
      <c r="O898" s="2484"/>
      <c r="P898" s="2484"/>
      <c r="Q898" s="2484"/>
    </row>
    <row r="899" spans="1:17" ht="15">
      <c r="A899" s="2484"/>
      <c r="B899" s="2776" t="s">
        <v>3156</v>
      </c>
      <c r="C899" s="2484"/>
      <c r="D899" s="2776"/>
      <c r="E899" s="2776"/>
      <c r="F899" s="2776"/>
      <c r="G899" s="2776"/>
      <c r="H899" s="2485"/>
      <c r="I899" s="2486"/>
      <c r="J899" s="2486"/>
      <c r="K899" s="2486"/>
      <c r="L899" s="2487"/>
      <c r="M899" s="2487"/>
      <c r="N899" s="2487"/>
      <c r="O899" s="2487"/>
      <c r="P899" s="2487"/>
      <c r="Q899" s="2487"/>
    </row>
    <row r="900" spans="1:17" ht="14.25">
      <c r="A900" s="2484">
        <f>'Part VII-Threshold Criteria'!A57</f>
        <v>0</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f>'Part VII-Threshold Criteria'!A67</f>
        <v>0</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f>'Part VII-Threshold Criteria'!L73</f>
        <v>0</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f>'Part VII-Threshold Criteria'!P74</f>
        <v>0</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f>'Part VII-Threshold Criteria'!P75</f>
        <v>0</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f>'Part VII-Threshold Criteria'!P77</f>
        <v>0</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f>'Part VII-Threshold Criteria'!P78</f>
        <v>0</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f>'Part VII-Threshold Criteria'!P80</f>
        <v>0</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3156</v>
      </c>
      <c r="C926" s="2484"/>
      <c r="D926" s="2776"/>
      <c r="E926" s="2776"/>
      <c r="F926" s="2776"/>
      <c r="G926" s="2776"/>
      <c r="H926" s="2485"/>
      <c r="I926" s="2486"/>
      <c r="J926" s="2486"/>
      <c r="K926" s="2486"/>
      <c r="L926" s="2487"/>
      <c r="M926" s="2487"/>
      <c r="N926" s="2487"/>
      <c r="O926" s="2487"/>
      <c r="P926" s="2487"/>
      <c r="Q926" s="2487"/>
    </row>
    <row r="927" spans="1:17" ht="14.25">
      <c r="A927" s="2484">
        <f>'Part VII-Threshold Criteria'!A84</f>
        <v>0</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f>'Part VII-Threshold Criteria'!G91</f>
        <v>0</v>
      </c>
      <c r="H934" s="2484"/>
      <c r="I934" s="2484"/>
      <c r="J934" s="2484"/>
      <c r="K934" s="2484"/>
      <c r="L934" s="2484"/>
      <c r="M934" s="2484"/>
      <c r="N934" s="2484"/>
      <c r="O934" s="2484"/>
      <c r="P934" s="2484"/>
      <c r="Q934" s="2484"/>
    </row>
    <row r="935" spans="1:17" ht="15">
      <c r="A935" s="2484"/>
      <c r="B935" s="2776" t="s">
        <v>3156</v>
      </c>
      <c r="C935" s="2484"/>
      <c r="D935" s="2776"/>
      <c r="E935" s="2776"/>
      <c r="F935" s="2776"/>
      <c r="G935" s="2776"/>
      <c r="H935" s="2485"/>
      <c r="I935" s="2486"/>
      <c r="J935" s="2486"/>
      <c r="K935" s="2486"/>
      <c r="L935" s="2487"/>
      <c r="M935" s="2487"/>
      <c r="N935" s="2487"/>
      <c r="O935" s="2487"/>
      <c r="P935" s="2487"/>
      <c r="Q935" s="2487"/>
    </row>
    <row r="936" spans="1:17" ht="14.25">
      <c r="A936" s="2484">
        <f>'Part VII-Threshold Criteria'!A93</f>
        <v>0</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3156</v>
      </c>
      <c r="C942" s="2484"/>
      <c r="D942" s="2776"/>
      <c r="E942" s="2776"/>
      <c r="F942" s="2776"/>
      <c r="G942" s="2776"/>
      <c r="H942" s="2485"/>
      <c r="I942" s="2486"/>
      <c r="J942" s="2486"/>
      <c r="K942" s="2486"/>
      <c r="L942" s="2487"/>
      <c r="M942" s="2487"/>
      <c r="N942" s="2487"/>
      <c r="O942" s="2487"/>
      <c r="P942" s="2487"/>
      <c r="Q942" s="2487"/>
    </row>
    <row r="943" spans="1:17" ht="14.25">
      <c r="A943" s="2484">
        <f>'Part VII-Threshold Criteria'!A100</f>
        <v>0</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3156</v>
      </c>
      <c r="C949" s="2484"/>
      <c r="D949" s="2776"/>
      <c r="E949" s="2776"/>
      <c r="F949" s="2776"/>
      <c r="G949" s="2776"/>
      <c r="H949" s="2485"/>
      <c r="I949" s="2486"/>
      <c r="J949" s="2486"/>
      <c r="K949" s="2486"/>
      <c r="L949" s="2487"/>
      <c r="M949" s="2487"/>
      <c r="N949" s="2487"/>
      <c r="O949" s="2487"/>
      <c r="P949" s="2487"/>
      <c r="Q949" s="2487"/>
    </row>
    <row r="950" spans="1:17" ht="14.25">
      <c r="A950" s="2484">
        <f>'Part VII-Threshold Criteria'!A107</f>
        <v>0</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t="str">
        <f>'Part VII-Threshold Criteria'!J113</f>
        <v>&lt;&lt;Enter Provider Name Here&gt;&gt;</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&lt;&lt;Enter Provider Name Here&gt;&gt;</v>
      </c>
      <c r="K957" s="2489"/>
      <c r="L957" s="2489"/>
      <c r="M957" s="2489"/>
      <c r="N957" s="2489"/>
      <c r="O957" s="2489"/>
      <c r="P957" s="2489"/>
      <c r="Q957" s="2489"/>
    </row>
    <row r="958" spans="1:17" ht="15">
      <c r="A958" s="2774"/>
      <c r="B958" s="2776" t="s">
        <v>3156</v>
      </c>
      <c r="C958" s="2484"/>
      <c r="D958" s="2484"/>
      <c r="E958" s="2484"/>
      <c r="F958" s="2484"/>
      <c r="G958" s="2484"/>
      <c r="H958" s="2484"/>
      <c r="I958" s="2484"/>
      <c r="J958" s="2484"/>
      <c r="K958" s="2484"/>
      <c r="L958" s="2484"/>
      <c r="M958" s="2484"/>
      <c r="N958" s="2484"/>
      <c r="O958" s="2484"/>
      <c r="P958" s="2484"/>
      <c r="Q958" s="2484"/>
    </row>
    <row r="959" spans="1:17" ht="14.25">
      <c r="A959" s="2484">
        <f>'Part VII-Threshold Criteria'!A116</f>
        <v>0</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&lt;&lt;Enter Provider Name Here&gt;&gt;</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&lt;&lt;Enter Provider Name Here&gt;&gt;</v>
      </c>
      <c r="K966" s="2489"/>
      <c r="L966" s="2489"/>
      <c r="M966" s="2489"/>
      <c r="N966" s="2489"/>
      <c r="O966" s="2489"/>
      <c r="P966" s="2489"/>
      <c r="Q966" s="2489"/>
    </row>
    <row r="967" spans="1:17" ht="15">
      <c r="A967" s="2484"/>
      <c r="B967" s="2776" t="s">
        <v>3156</v>
      </c>
      <c r="C967" s="2484"/>
      <c r="D967" s="2776"/>
      <c r="E967" s="2776"/>
      <c r="F967" s="2776"/>
      <c r="G967" s="2776"/>
      <c r="H967" s="2485"/>
      <c r="I967" s="2486"/>
      <c r="J967" s="2486"/>
      <c r="K967" s="2486"/>
      <c r="L967" s="2487"/>
      <c r="M967" s="2487"/>
      <c r="N967" s="2487"/>
      <c r="O967" s="2487"/>
      <c r="P967" s="2487"/>
      <c r="Q967" s="2487"/>
    </row>
    <row r="968" spans="1:17" ht="14.25">
      <c r="A968" s="2484">
        <f>'Part VII-Threshold Criteria'!A125</f>
        <v>0</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f>'Part VII-Threshold Criteria'!P131</f>
        <v>0</v>
      </c>
      <c r="Q974" s="2489"/>
    </row>
    <row r="975" spans="1:17" ht="15">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&lt;&lt;Select&gt;&gt;</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&lt;&lt;Select&gt;&gt;</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&lt;&lt;Select&gt;&gt;</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(Select an amenity from options provided here)</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(Select an amenity from options provided here)</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3156</v>
      </c>
      <c r="C986" s="2484"/>
      <c r="D986" s="2776"/>
      <c r="E986" s="2776"/>
      <c r="F986" s="2776"/>
      <c r="G986" s="2776"/>
      <c r="H986" s="2485"/>
      <c r="I986" s="2486"/>
      <c r="J986" s="2486"/>
      <c r="K986" s="2486"/>
      <c r="L986" s="2487"/>
      <c r="M986" s="2487"/>
      <c r="N986" s="2487"/>
      <c r="O986" s="2487"/>
      <c r="P986" s="2484"/>
      <c r="Q986" s="2484"/>
    </row>
    <row r="987" spans="1:17" ht="14.25">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3156</v>
      </c>
      <c r="C996" s="2484"/>
      <c r="D996" s="2776"/>
      <c r="E996" s="2776"/>
      <c r="F996" s="2776"/>
      <c r="G996" s="2776"/>
      <c r="H996" s="2485"/>
      <c r="I996" s="2486"/>
      <c r="J996" s="2486"/>
      <c r="K996" s="2486"/>
      <c r="L996" s="2487"/>
      <c r="M996" s="2487"/>
      <c r="N996" s="2487"/>
      <c r="O996" s="2487"/>
      <c r="P996" s="2487"/>
      <c r="Q996" s="2487"/>
    </row>
    <row r="997" spans="1:17" ht="14.25">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3156</v>
      </c>
      <c r="C1003" s="2484"/>
      <c r="D1003" s="2776"/>
      <c r="E1003" s="2776"/>
      <c r="F1003" s="2776"/>
      <c r="G1003" s="2776"/>
      <c r="H1003" s="2485"/>
      <c r="I1003" s="2486"/>
      <c r="J1003" s="2486"/>
      <c r="K1003" s="2486"/>
      <c r="L1003" s="2487"/>
      <c r="M1003" s="2487"/>
      <c r="N1003" s="2487"/>
      <c r="O1003" s="2487"/>
      <c r="P1003" s="2487"/>
      <c r="Q1003" s="2487"/>
    </row>
    <row r="1004" spans="1:17" ht="14.25">
      <c r="A1004" s="2484">
        <f>'Part VII-Threshold Criteria'!A161</f>
        <v>0</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f>'Part VII-Threshold Criteria'!P168</f>
        <v>0</v>
      </c>
      <c r="Q1011" s="2782"/>
    </row>
    <row r="1012" spans="1:28" ht="15">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5">
      <c r="A1013" s="2484"/>
      <c r="B1013" s="2776" t="s">
        <v>3156</v>
      </c>
      <c r="C1013" s="2484"/>
      <c r="D1013" s="2484"/>
      <c r="E1013" s="2484"/>
      <c r="F1013" s="2484"/>
      <c r="G1013" s="2484"/>
      <c r="H1013" s="2484"/>
      <c r="I1013" s="2484"/>
      <c r="J1013" s="2484"/>
      <c r="K1013" s="2484"/>
      <c r="L1013" s="2484"/>
      <c r="M1013" s="2486"/>
      <c r="N1013" s="2486"/>
      <c r="O1013" s="2793"/>
      <c r="P1013" s="2487"/>
      <c r="Q1013" s="2484"/>
    </row>
    <row r="1014" spans="1:28" ht="14.25">
      <c r="A1014" s="2484">
        <f>'Part VII-Threshold Criteria'!A171</f>
        <v>0</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3282</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f>'Part VII-Threshold Criteria'!P177</f>
        <v>0</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f>'Part VII-Threshold Criteria'!P178</f>
        <v>0</v>
      </c>
      <c r="Q1021" s="2489"/>
    </row>
    <row r="1022" spans="1:28" ht="15">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5038</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4798</v>
      </c>
      <c r="O1027" s="2779"/>
      <c r="P1027" s="2489">
        <f>'Part VII-Threshold Criteria'!P184</f>
        <v>0</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0</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0</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f>'Part VII-Threshold Criteria'!P189</f>
        <v>0</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f>'Part VII-Threshold Criteria'!P190</f>
        <v>0</v>
      </c>
      <c r="Q1033" s="2487"/>
    </row>
    <row r="1034" spans="1:17" ht="15">
      <c r="A1034" s="2484"/>
      <c r="B1034" s="2776" t="s">
        <v>3156</v>
      </c>
      <c r="C1034" s="2484"/>
      <c r="D1034" s="2776"/>
      <c r="E1034" s="2776"/>
      <c r="F1034" s="2776"/>
      <c r="G1034" s="2776"/>
      <c r="H1034" s="2485"/>
      <c r="I1034" s="2486"/>
      <c r="J1034" s="2486"/>
      <c r="K1034" s="2486"/>
      <c r="L1034" s="2487"/>
      <c r="M1034" s="2487"/>
      <c r="N1034" s="2487"/>
      <c r="O1034" s="2487"/>
      <c r="P1034" s="2487"/>
      <c r="Q1034" s="2487"/>
    </row>
    <row r="1035" spans="1:17" ht="14.25">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3283</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f>'Part VII-Threshold Criteria'!P198</f>
        <v>0</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f>'Part VII-Threshold Criteria'!P199</f>
        <v>0</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3156</v>
      </c>
      <c r="C1049" s="2484"/>
      <c r="D1049" s="2776"/>
      <c r="E1049" s="2776"/>
      <c r="F1049" s="2776"/>
      <c r="G1049" s="2776"/>
      <c r="H1049" s="2485"/>
      <c r="I1049" s="2486"/>
      <c r="J1049" s="2486"/>
      <c r="K1049" s="2486"/>
      <c r="L1049" s="2487"/>
      <c r="M1049" s="2487"/>
      <c r="N1049" s="2487"/>
      <c r="O1049" s="2487"/>
      <c r="P1049" s="2487"/>
      <c r="Q1049" s="2487"/>
    </row>
    <row r="1050" spans="1:17" ht="14.25">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3281</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&lt;&lt;Select&gt;&gt;</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&lt;&lt;Select&gt;&gt;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&lt;&lt;Select&gt;&gt;</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&lt;&lt;Select&gt;&gt;</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f>'Part VII-Threshold Criteria'!O217</f>
        <v>0</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3156</v>
      </c>
      <c r="C1062" s="2484"/>
      <c r="D1062" s="2776"/>
      <c r="E1062" s="2776"/>
      <c r="F1062" s="2776"/>
      <c r="G1062" s="2776"/>
      <c r="H1062" s="2485"/>
      <c r="I1062" s="2486"/>
      <c r="J1062" s="2486"/>
      <c r="K1062" s="2486"/>
      <c r="L1062" s="2487"/>
      <c r="M1062" s="2487"/>
      <c r="N1062" s="2487"/>
      <c r="O1062" s="2487"/>
      <c r="P1062" s="2487"/>
      <c r="Q1062" s="2487"/>
    </row>
    <row r="1063" spans="1:17" ht="14.25">
      <c r="A1063" s="2484">
        <f>'Part VII-Threshold Criteria'!A220</f>
        <v>0</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3284</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5005</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5006</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5107</v>
      </c>
      <c r="C1074" s="2484"/>
      <c r="D1074" s="2484"/>
      <c r="E1074" s="2484"/>
      <c r="F1074" s="2484"/>
      <c r="G1074" s="2484" t="s">
        <v>5108</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3156</v>
      </c>
      <c r="C1076" s="2484"/>
      <c r="D1076" s="2776"/>
      <c r="E1076" s="2776"/>
      <c r="F1076" s="2776"/>
      <c r="G1076" s="2776"/>
      <c r="H1076" s="2485"/>
      <c r="I1076" s="2486"/>
      <c r="J1076" s="2486"/>
      <c r="K1076" s="2486"/>
      <c r="L1076" s="2487"/>
      <c r="M1076" s="2487"/>
      <c r="N1076" s="2487"/>
      <c r="O1076" s="2487"/>
      <c r="P1076" s="2487"/>
      <c r="Q1076" s="2487"/>
    </row>
    <row r="1077" spans="1:17" ht="14.25">
      <c r="A1077" s="2484">
        <f>'Part VII-Threshold Criteria'!A234</f>
        <v>0</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3285</v>
      </c>
      <c r="B1082" s="2489" t="s">
        <v>3270</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3271</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3272</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3156</v>
      </c>
      <c r="C1086" s="2484"/>
      <c r="D1086" s="2776"/>
      <c r="E1086" s="2776"/>
      <c r="F1086" s="2776"/>
      <c r="G1086" s="2776"/>
      <c r="H1086" s="2485"/>
      <c r="I1086" s="2486"/>
      <c r="J1086" s="2486"/>
      <c r="K1086" s="2486"/>
      <c r="L1086" s="2487"/>
      <c r="M1086" s="2487"/>
      <c r="N1086" s="2487"/>
      <c r="O1086" s="2487"/>
      <c r="P1086" s="2487"/>
      <c r="Q1086" s="2487"/>
    </row>
    <row r="1087" spans="1:17" ht="14.25">
      <c r="A1087" s="2484">
        <f>'Part VII-Threshold Criteria'!A244</f>
        <v>0</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3288</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3156</v>
      </c>
      <c r="C1096" s="2484"/>
      <c r="D1096" s="2776"/>
      <c r="E1096" s="2776"/>
      <c r="F1096" s="2776"/>
      <c r="G1096" s="2776"/>
      <c r="H1096" s="2485"/>
      <c r="I1096" s="2486"/>
      <c r="J1096" s="2486"/>
      <c r="K1096" s="2486"/>
      <c r="L1096" s="2487"/>
      <c r="M1096" s="2487"/>
      <c r="N1096" s="2487"/>
      <c r="O1096" s="2487"/>
      <c r="P1096" s="2487"/>
      <c r="Q1096" s="2487"/>
    </row>
    <row r="1097" spans="1:17" ht="14.25">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3289</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3156</v>
      </c>
      <c r="C1107" s="2484"/>
      <c r="D1107" s="2776"/>
      <c r="E1107" s="2776"/>
      <c r="F1107" s="2776"/>
      <c r="G1107" s="2776"/>
      <c r="H1107" s="2485"/>
      <c r="I1107" s="2486"/>
      <c r="J1107" s="2486"/>
      <c r="K1107" s="2486"/>
      <c r="L1107" s="2484"/>
      <c r="M1107" s="2484"/>
      <c r="N1107" s="2484"/>
      <c r="O1107" s="2484"/>
      <c r="P1107" s="2484"/>
      <c r="Q1107" s="2484"/>
    </row>
    <row r="1108" spans="1:17" ht="14.25">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3290</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f>'Part VII-Threshold Criteria'!P271</f>
        <v>0</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f>'Part VII-Threshold Criteria'!P272</f>
        <v>0</v>
      </c>
      <c r="Q1115" s="2489"/>
    </row>
    <row r="1116" spans="1:17" ht="15">
      <c r="A1116" s="2484"/>
      <c r="B1116" s="2776" t="s">
        <v>3156</v>
      </c>
      <c r="C1116" s="2484"/>
      <c r="D1116" s="2776"/>
      <c r="E1116" s="2776"/>
      <c r="F1116" s="2776"/>
      <c r="G1116" s="2776"/>
      <c r="H1116" s="2485"/>
      <c r="I1116" s="2486"/>
      <c r="J1116" s="2486"/>
      <c r="K1116" s="2486"/>
      <c r="L1116" s="2487"/>
      <c r="M1116" s="2487"/>
      <c r="N1116" s="2487"/>
      <c r="O1116" s="2487"/>
      <c r="P1116" s="2487"/>
      <c r="Q1116" s="2487"/>
    </row>
    <row r="1117" spans="1:17" ht="14.25">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3291</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f>'Part VII-Threshold Criteria'!P281</f>
        <v>0</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f>'Part VII-Threshold Criteria'!P283</f>
        <v>0</v>
      </c>
      <c r="Q1126" s="2782"/>
    </row>
    <row r="1127" spans="1:17" ht="15">
      <c r="A1127" s="2773"/>
      <c r="B1127" s="2776" t="s">
        <v>3156</v>
      </c>
      <c r="C1127" s="2484"/>
      <c r="D1127" s="2776"/>
      <c r="E1127" s="2776"/>
      <c r="F1127" s="2776"/>
      <c r="G1127" s="2776"/>
      <c r="H1127" s="2485"/>
      <c r="I1127" s="2486"/>
      <c r="J1127" s="2486"/>
      <c r="K1127" s="2486"/>
      <c r="L1127" s="2487"/>
      <c r="M1127" s="2487"/>
      <c r="N1127" s="2487"/>
      <c r="O1127" s="2487"/>
      <c r="P1127" s="2487"/>
      <c r="Q1127" s="2487"/>
    </row>
    <row r="1128" spans="1:17" ht="14.25">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3292</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f>'Part VII-Threshold Criteria'!P291</f>
        <v>0</v>
      </c>
      <c r="Q1134" s="2489"/>
    </row>
    <row r="1135" spans="1:17" ht="15">
      <c r="A1135" s="2773"/>
      <c r="B1135" s="2776" t="s">
        <v>3156</v>
      </c>
      <c r="C1135" s="2484"/>
      <c r="D1135" s="2776"/>
      <c r="E1135" s="2776"/>
      <c r="F1135" s="2776"/>
      <c r="G1135" s="2776"/>
      <c r="H1135" s="2485"/>
      <c r="I1135" s="2486"/>
      <c r="J1135" s="2486"/>
      <c r="K1135" s="2486"/>
      <c r="L1135" s="2487"/>
      <c r="M1135" s="2487"/>
      <c r="N1135" s="2487"/>
      <c r="O1135" s="2487"/>
      <c r="P1135" s="2487"/>
      <c r="Q1135" s="2487"/>
    </row>
    <row r="1136" spans="1:17" ht="14.25">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3293</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5">
      <c r="A1144" s="2773"/>
      <c r="B1144" s="2776" t="s">
        <v>3156</v>
      </c>
      <c r="C1144" s="2484"/>
      <c r="D1144" s="2776"/>
      <c r="E1144" s="2776"/>
      <c r="F1144" s="2776"/>
      <c r="G1144" s="2776"/>
      <c r="H1144" s="2485"/>
      <c r="I1144" s="2486"/>
      <c r="J1144" s="2486"/>
      <c r="K1144" s="2486"/>
      <c r="L1144" s="2487"/>
      <c r="M1144" s="2487"/>
      <c r="N1144" s="2487"/>
      <c r="O1144" s="2487"/>
      <c r="P1144" s="2487"/>
      <c r="Q1144" s="2487"/>
    </row>
    <row r="1145" spans="1:17" ht="14.25">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3156</v>
      </c>
      <c r="C1151" s="2484"/>
      <c r="D1151" s="2776"/>
      <c r="E1151" s="2776"/>
      <c r="F1151" s="2776"/>
      <c r="G1151" s="2776"/>
      <c r="H1151" s="2485"/>
      <c r="I1151" s="2486"/>
      <c r="J1151" s="2486"/>
      <c r="K1151" s="2486"/>
      <c r="L1151" s="2487"/>
      <c r="M1151" s="2487"/>
      <c r="N1151" s="2487"/>
      <c r="O1151" s="2487"/>
      <c r="P1151" s="2487"/>
      <c r="Q1151" s="2487"/>
    </row>
    <row r="1152" spans="1:17" ht="14.25">
      <c r="A1152" s="2484">
        <f>'Part VII-Threshold Criteria'!A309</f>
        <v>0</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Flats at Lake View II,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Other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f>'Part VIII Scoring Criteria'!A50</f>
        <v>0</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3259</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3260</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72</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f>'Part VIII Scoring Criteria'!A84</f>
        <v>0</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5023</v>
      </c>
      <c r="C1262" s="2028"/>
      <c r="D1262" s="2028"/>
      <c r="E1262" s="2028"/>
      <c r="F1262" s="2028"/>
      <c r="G1262" s="2028"/>
      <c r="H1262" s="2810"/>
      <c r="I1262" s="2028"/>
      <c r="J1262" s="2030">
        <f>'Part VIII Scoring Criteria'!J105</f>
        <v>7.2</v>
      </c>
      <c r="K1262" s="2851">
        <v>0.1</v>
      </c>
      <c r="L1262" s="2028"/>
      <c r="M1262" s="2810" t="s">
        <v>5041</v>
      </c>
      <c r="N1262" s="2017"/>
      <c r="O1262" s="2027">
        <f>'Part VIII Scoring Criteria'!O105</f>
        <v>8</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f>'Part VIII Scoring Criteria'!O106</f>
        <v>0</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f>'Part VIII Scoring Criteria'!A112</f>
        <v>0</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f>'Part VIII Scoring Criteria'!A136</f>
        <v>0</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57.61904761904762</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f>'Part VIII Scoring Criteria'!A155</f>
        <v>0</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3280</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3196</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f>'Part VIII Scoring Criteria'!A164</f>
        <v>0</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3239</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f>'Part VIII Scoring Criteria'!B175</f>
        <v>0</v>
      </c>
      <c r="C1332" s="1998"/>
      <c r="D1332" s="1998"/>
      <c r="E1332" s="1998"/>
      <c r="F1332" s="2874">
        <f>'Part VIII Scoring Criteria'!F175</f>
        <v>0</v>
      </c>
      <c r="G1332" s="1998">
        <f>'Part VIII Scoring Criteria'!G175</f>
        <v>0</v>
      </c>
      <c r="H1332" s="1998"/>
      <c r="I1332" s="1998"/>
      <c r="J1332" s="1998">
        <f>'Part VIII Scoring Criteria'!J175</f>
        <v>0</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3154</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3155</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f>'Part VIII Scoring Criteria'!A185</f>
        <v>0</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Lake Joy Primary School</v>
      </c>
      <c r="C1351" s="1998"/>
      <c r="D1351" s="1998"/>
      <c r="E1351" s="1998"/>
      <c r="F1351" s="1998">
        <f>'Part VIII Scoring Criteria'!F194</f>
        <v>0</v>
      </c>
      <c r="G1351" s="1998"/>
      <c r="H1351" s="1998">
        <f>'Part VIII Scoring Criteria'!H194</f>
        <v>0</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Lake Joy Elementary School</v>
      </c>
      <c r="C1352" s="1998"/>
      <c r="D1352" s="1998"/>
      <c r="E1352" s="1998"/>
      <c r="F1352" s="1998">
        <f>'Part VIII Scoring Criteria'!F195</f>
        <v>0</v>
      </c>
      <c r="G1352" s="1998"/>
      <c r="H1352" s="1998">
        <f>'Part VIII Scoring Criteria'!H195</f>
        <v>0</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Feagin Mill Middle School</v>
      </c>
      <c r="C1353" s="1998"/>
      <c r="D1353" s="1998"/>
      <c r="E1353" s="1998"/>
      <c r="F1353" s="1998">
        <f>'Part VIII Scoring Criteria'!F196</f>
        <v>0</v>
      </c>
      <c r="G1353" s="1998"/>
      <c r="H1353" s="1998">
        <f>'Part VIII Scoring Criteria'!H196</f>
        <v>0</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t="str">
        <f>'Part VIII Scoring Criteria'!B197</f>
        <v>Houston County High School</v>
      </c>
      <c r="C1354" s="1998"/>
      <c r="D1354" s="1998"/>
      <c r="E1354" s="1998"/>
      <c r="F1354" s="1998">
        <f>'Part VIII Scoring Criteria'!F197</f>
        <v>0</v>
      </c>
      <c r="G1354" s="1998"/>
      <c r="H1354" s="1998">
        <f>'Part VIII Scoring Criteria'!H197</f>
        <v>0</v>
      </c>
      <c r="I1354" s="1998"/>
      <c r="J1354" s="1998" t="str">
        <f>'Part VIII Scoring Criteria'!J197</f>
        <v>Yes</v>
      </c>
      <c r="K1354" s="1998"/>
      <c r="L1354" s="1997" t="str">
        <f>'Part VIII Scoring Criteria'!L197</f>
        <v>Yes</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f>'Part VIII Scoring Criteria'!A201</f>
        <v>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3252</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5020</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3308</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 Check Score! * *</v>
      </c>
      <c r="M1395" s="2468">
        <v>10</v>
      </c>
      <c r="N1395" s="2012"/>
      <c r="O1395" s="2027">
        <f>'Part VIII Scoring Criteria'!O238</f>
        <v>9</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5020</v>
      </c>
      <c r="G1396" s="1998"/>
      <c r="H1396" s="1998"/>
      <c r="I1396" s="1998"/>
      <c r="J1396" s="1998"/>
      <c r="K1396" s="1998"/>
      <c r="L1396" s="2471"/>
      <c r="M1396" s="2468"/>
      <c r="N1396" s="2012"/>
      <c r="O1396" s="2027">
        <f>'Part VIII Scoring Criteria'!O239</f>
        <v>9</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5125</v>
      </c>
      <c r="D1399" s="2882"/>
      <c r="E1399" s="2464"/>
      <c r="F1399" s="1998"/>
      <c r="G1399" s="1998"/>
      <c r="H1399" s="1998"/>
      <c r="I1399" s="1998"/>
      <c r="J1399" s="2844" t="str">
        <f>'Part VIII Scoring Criteria'!J250</f>
        <v>Yes</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9</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t="str">
        <f>'Part VIII Scoring Criteria'!E254</f>
        <v>Above 50th</v>
      </c>
      <c r="F1403" s="2891"/>
      <c r="G1403" s="2892"/>
      <c r="H1403" s="2851"/>
      <c r="I1403" s="2891" t="str">
        <f>'Part VIII Scoring Criteria'!I254</f>
        <v>Near Census Tract</v>
      </c>
      <c r="J1403" s="2891"/>
      <c r="K1403" s="2891"/>
      <c r="L1403" s="2891"/>
      <c r="M1403" s="2891">
        <f>'Part VIII Scoring Criteria'!M254</f>
        <v>13153021122</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4989</v>
      </c>
      <c r="C1404" s="2028"/>
      <c r="D1404" s="2833"/>
      <c r="E1404" s="2891">
        <f>'Part VIII Scoring Criteria'!E255</f>
        <v>0</v>
      </c>
      <c r="F1404" s="2891"/>
      <c r="G1404" s="2892"/>
      <c r="H1404" s="2851"/>
      <c r="I1404" s="2891">
        <f>'Part VIII Scoring Criteria'!I255</f>
        <v>0</v>
      </c>
      <c r="J1404" s="2891"/>
      <c r="K1404" s="2891"/>
      <c r="L1404" s="2891"/>
      <c r="M1404" s="2891">
        <f>'Part VIII Scoring Criteria'!M255</f>
        <v>0</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4990</v>
      </c>
      <c r="C1405" s="2028"/>
      <c r="D1405" s="2833"/>
      <c r="E1405" s="2891" t="str">
        <f>'Part VIII Scoring Criteria'!E256</f>
        <v>Above 50th</v>
      </c>
      <c r="F1405" s="2891"/>
      <c r="G1405" s="2892"/>
      <c r="H1405" s="2851"/>
      <c r="I1405" s="2891" t="str">
        <f>'Part VIII Scoring Criteria'!I256</f>
        <v>Near Census Tract</v>
      </c>
      <c r="J1405" s="2891"/>
      <c r="K1405" s="2891"/>
      <c r="L1405" s="2891"/>
      <c r="M1405" s="2891">
        <f>'Part VIII Scoring Criteria'!M256</f>
        <v>13153021122</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4991</v>
      </c>
      <c r="C1406" s="2464"/>
      <c r="D1406" s="2464"/>
      <c r="E1406" s="2891" t="str">
        <f>'Part VIII Scoring Criteria'!E257</f>
        <v>Above 50th</v>
      </c>
      <c r="F1406" s="2891"/>
      <c r="G1406" s="2892"/>
      <c r="H1406" s="2012">
        <f>'Part VIII Scoring Criteria'!H257</f>
        <v>2022</v>
      </c>
      <c r="I1406" s="2891" t="str">
        <f>'Part VIII Scoring Criteria'!I257</f>
        <v>Near Census Tract</v>
      </c>
      <c r="J1406" s="2891"/>
      <c r="K1406" s="2891"/>
      <c r="L1406" s="2891"/>
      <c r="M1406" s="2891">
        <f>'Part VIII Scoring Criteria'!M257</f>
        <v>13153021122</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t="str">
        <f>'Part VIII Scoring Criteria'!E258</f>
        <v>Above 50th</v>
      </c>
      <c r="F1407" s="2891"/>
      <c r="G1407" s="2892"/>
      <c r="H1407" s="2012">
        <f>'Part VIII Scoring Criteria'!H258</f>
        <v>2022</v>
      </c>
      <c r="I1407" s="2891" t="str">
        <f>'Part VIII Scoring Criteria'!I258</f>
        <v>Near Census Tract</v>
      </c>
      <c r="J1407" s="2891"/>
      <c r="K1407" s="2891"/>
      <c r="L1407" s="2891"/>
      <c r="M1407" s="2891">
        <f>'Part VIII Scoring Criteria'!M258</f>
        <v>13153021122</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f>'Part VIII Scoring Criteria'!A260</f>
        <v>0</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3282</v>
      </c>
      <c r="B1414" s="2464" t="s">
        <v>3254</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3179</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3180</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3283</v>
      </c>
      <c r="B1423" s="2464" t="s">
        <v>3908</v>
      </c>
      <c r="C1423" s="2028"/>
      <c r="D1423" s="2028"/>
      <c r="E1423" s="2814" t="str">
        <f>IF(AND(O1423&gt;0,NOT($F$12="New Affordability"),NOT($O$12="9%")), "Ineligible, not New Affordability and 9%!","")</f>
        <v>Ineligible, not New Affordability and 9%!</v>
      </c>
      <c r="F1423" s="2028"/>
      <c r="G1423" s="2826">
        <f>$O$12</f>
        <v>0</v>
      </c>
      <c r="H1423" s="2841">
        <f>$J$12</f>
        <v>0</v>
      </c>
      <c r="I1423" s="2028"/>
      <c r="J1423" s="2028"/>
      <c r="K1423" s="2028"/>
      <c r="L1423" s="2810" t="s">
        <v>4896</v>
      </c>
      <c r="M1423" s="2468">
        <v>4</v>
      </c>
      <c r="N1423" s="2012"/>
      <c r="O1423" s="2027">
        <f>'Part VIII Scoring Criteria'!O274</f>
        <v>4</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t="str">
        <f>'Part VIII Scoring Criteria'!O275</f>
        <v>Yes</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t="str">
        <f>'Part VIII Scoring Criteria'!G277</f>
        <v>2022-014</v>
      </c>
      <c r="H1426" s="1998" t="str">
        <f>'Part VIII Scoring Criteria'!H277</f>
        <v>Flats at Lakeview</v>
      </c>
      <c r="I1426" s="1998"/>
      <c r="J1426" s="1998"/>
      <c r="K1426" s="2895">
        <f>'Part VIII Scoring Criteria'!K277</f>
        <v>45358</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Phase Two was under contract prior to Phase One (2022-014) commencing construction.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3281</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4896</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f>'Part VIII Scoring Criteria'!A298</f>
        <v>0</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3284</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3307</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9</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3285</v>
      </c>
      <c r="B1466" s="2464" t="s">
        <v>4851</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Jack's Link's</v>
      </c>
      <c r="D1470" s="2899"/>
      <c r="E1470" s="2899"/>
      <c r="F1470" s="2899" t="str">
        <f>'Part VIII Scoring Criteria'!F321</f>
        <v>720 Perry Parkway</v>
      </c>
      <c r="G1470" s="2899"/>
      <c r="H1470" s="2899"/>
      <c r="I1470" s="2899" t="str">
        <f>'Part VIII Scoring Criteria'!I321</f>
        <v>Perry GA</v>
      </c>
      <c r="J1470" s="2899"/>
      <c r="K1470" s="2900">
        <f>'Part VIII Scoring Criteria'!K321</f>
        <v>31069</v>
      </c>
      <c r="L1470" s="2899">
        <f>'Part VIII Scoring Criteria'!L321</f>
        <v>11.1</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f>'Part VIII Scoring Criteria'!A326</f>
        <v>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3288</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0.125</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3289</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3290</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commits to 3rd Party Service Provider and intends to use Rainbow House</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3291</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City of Warner Robins</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f>'Part VIII Scoring Criteria'!A363</f>
        <v>0</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3292</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4995</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3306</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0</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3251</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4996</v>
      </c>
      <c r="D1529" s="1998"/>
      <c r="E1529" s="1998"/>
      <c r="F1529" s="2852"/>
      <c r="G1529" s="1998"/>
      <c r="H1529" s="1998"/>
      <c r="I1529" s="2861" t="s">
        <v>4997</v>
      </c>
      <c r="J1529" s="2897">
        <f>'Part VIII Scoring Criteria'!J380</f>
        <v>9</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3307</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9</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3178</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f>'Part VIII Scoring Criteria'!A401</f>
        <v>0</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7" zoomScale="60" zoomScaleNormal="100" workbookViewId="0">
      <selection activeCell="X43" sqref="X43"/>
    </sheetView>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2473</v>
      </c>
      <c r="B5" s="4015"/>
      <c r="C5" s="4015"/>
      <c r="D5" s="4015"/>
      <c r="E5" s="4015"/>
      <c r="F5" s="4015"/>
      <c r="G5" s="4015"/>
      <c r="H5" s="4015"/>
      <c r="I5" s="4015"/>
      <c r="J5" s="4015"/>
      <c r="K5" s="4015"/>
      <c r="L5" s="4015"/>
      <c r="M5" s="4015"/>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4947</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3104</v>
      </c>
      <c r="C13" s="4013"/>
      <c r="D13" s="4013"/>
      <c r="E13" s="4013"/>
      <c r="F13" s="4013"/>
      <c r="G13" s="4013"/>
      <c r="H13" s="4013"/>
      <c r="I13" s="4013"/>
      <c r="J13" s="4013"/>
      <c r="K13" s="4013"/>
      <c r="L13" s="4013"/>
      <c r="M13" s="4013"/>
      <c r="U13" s="796" t="s">
        <v>4168</v>
      </c>
    </row>
    <row r="14" spans="1:26" ht="47.25" customHeight="1">
      <c r="A14" s="802" t="s">
        <v>1612</v>
      </c>
      <c r="B14" s="4013" t="s">
        <v>3105</v>
      </c>
      <c r="C14" s="4013"/>
      <c r="D14" s="4013"/>
      <c r="E14" s="4013"/>
      <c r="F14" s="4013"/>
      <c r="G14" s="4013"/>
      <c r="H14" s="4013"/>
      <c r="I14" s="4013"/>
      <c r="J14" s="4013"/>
      <c r="K14" s="4013"/>
      <c r="L14" s="4013"/>
      <c r="M14" s="4013"/>
    </row>
    <row r="15" spans="1:26" ht="117" customHeight="1">
      <c r="A15" s="802" t="s">
        <v>1613</v>
      </c>
      <c r="B15" s="4013" t="s">
        <v>3106</v>
      </c>
      <c r="C15" s="4013"/>
      <c r="D15" s="4013"/>
      <c r="E15" s="4013"/>
      <c r="F15" s="4013"/>
      <c r="G15" s="4013"/>
      <c r="H15" s="4013"/>
      <c r="I15" s="4013"/>
      <c r="J15" s="4013"/>
      <c r="K15" s="4013"/>
      <c r="L15" s="4013"/>
      <c r="M15" s="4013"/>
    </row>
    <row r="16" spans="1:26" ht="147" customHeight="1">
      <c r="A16" s="802" t="s">
        <v>2176</v>
      </c>
      <c r="B16" s="4013" t="s">
        <v>2985</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2984</v>
      </c>
      <c r="C18" s="4013"/>
      <c r="D18" s="4013"/>
      <c r="E18" s="4013"/>
      <c r="F18" s="4013"/>
      <c r="G18" s="4013"/>
      <c r="H18" s="4013"/>
      <c r="I18" s="4013"/>
      <c r="J18" s="4013"/>
      <c r="K18" s="4013"/>
      <c r="L18" s="4013"/>
      <c r="M18" s="4013"/>
    </row>
    <row r="19" spans="1:13" ht="48.75" customHeight="1">
      <c r="A19" s="802" t="s">
        <v>93</v>
      </c>
      <c r="B19" s="4014" t="s">
        <v>3107</v>
      </c>
      <c r="C19" s="4014"/>
      <c r="D19" s="4014"/>
      <c r="E19" s="4014"/>
      <c r="F19" s="4014"/>
      <c r="G19" s="4014"/>
      <c r="H19" s="4014"/>
      <c r="I19" s="4014"/>
      <c r="J19" s="4014"/>
      <c r="K19" s="4014"/>
      <c r="L19" s="4014"/>
      <c r="M19" s="4014"/>
    </row>
    <row r="20" spans="1:13" ht="50.25" customHeight="1">
      <c r="A20" s="802" t="s">
        <v>480</v>
      </c>
      <c r="B20" s="4013" t="s">
        <v>2986</v>
      </c>
      <c r="C20" s="4013"/>
      <c r="D20" s="4013"/>
      <c r="E20" s="4013"/>
      <c r="F20" s="4013"/>
      <c r="G20" s="4013"/>
      <c r="H20" s="4013"/>
      <c r="I20" s="4013"/>
      <c r="J20" s="4013"/>
      <c r="K20" s="4013"/>
      <c r="L20" s="4013"/>
      <c r="M20" s="4013"/>
    </row>
    <row r="21" spans="1:13" ht="31.5" customHeight="1">
      <c r="A21" s="802" t="s">
        <v>481</v>
      </c>
      <c r="B21" s="4013" t="s">
        <v>3003</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3004</v>
      </c>
      <c r="C25" s="4013"/>
      <c r="D25" s="4013"/>
      <c r="E25" s="4013"/>
      <c r="F25" s="4013"/>
      <c r="G25" s="4013"/>
      <c r="H25" s="4013"/>
      <c r="I25" s="4013"/>
      <c r="J25" s="4013"/>
      <c r="K25" s="4013"/>
      <c r="L25" s="4013"/>
      <c r="M25" s="4013"/>
    </row>
    <row r="26" spans="1:13" ht="31.5" customHeight="1">
      <c r="A26" s="802" t="s">
        <v>1373</v>
      </c>
      <c r="B26" s="4013" t="s">
        <v>3005</v>
      </c>
      <c r="C26" s="4013"/>
      <c r="D26" s="4013"/>
      <c r="E26" s="4013"/>
      <c r="F26" s="4013"/>
      <c r="G26" s="4013"/>
      <c r="H26" s="4013"/>
      <c r="I26" s="4013"/>
      <c r="J26" s="4013"/>
      <c r="K26" s="4013"/>
      <c r="L26" s="4013"/>
      <c r="M26" s="4013"/>
    </row>
    <row r="27" spans="1:13" ht="78.75" customHeight="1">
      <c r="A27" s="802" t="s">
        <v>1373</v>
      </c>
      <c r="B27" s="4013" t="s">
        <v>2474</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2475</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0" t="s">
        <v>867</v>
      </c>
      <c r="I41" s="4010"/>
      <c r="J41" s="4010"/>
      <c r="K41" s="4010"/>
      <c r="L41" s="4010"/>
      <c r="M41" s="4010"/>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dimension ref="A1:N79"/>
  <sheetViews>
    <sheetView showGridLines="0" view="pageBreakPreview" topLeftCell="A53" zoomScale="60" zoomScaleNormal="100" workbookViewId="0">
      <selection activeCell="X43" sqref="X43"/>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Flats at Lake View II</v>
      </c>
      <c r="E3" s="4024"/>
      <c r="F3" s="4024"/>
      <c r="G3" s="4024"/>
      <c r="H3" s="4024"/>
      <c r="I3" s="4024"/>
      <c r="J3" s="4025" t="s">
        <v>4068</v>
      </c>
      <c r="K3" s="4026"/>
    </row>
    <row r="4" spans="1:11" ht="15" customHeight="1">
      <c r="A4" s="1269" t="s">
        <v>3840</v>
      </c>
      <c r="B4" s="1270"/>
      <c r="C4" s="1271"/>
      <c r="D4" s="4027"/>
      <c r="E4" s="4028"/>
      <c r="F4" s="4028"/>
      <c r="G4" s="4028"/>
      <c r="H4" s="4028"/>
      <c r="I4" s="4028"/>
      <c r="J4" s="4029" t="s">
        <v>3881</v>
      </c>
      <c r="K4" s="4030"/>
    </row>
    <row r="5" spans="1:11" ht="15" customHeight="1" thickBot="1">
      <c r="A5" s="1272" t="s">
        <v>3841</v>
      </c>
      <c r="B5" s="1273"/>
      <c r="C5" s="1274"/>
      <c r="D5" s="4033"/>
      <c r="E5" s="4034"/>
      <c r="F5" s="4034"/>
      <c r="G5" s="4034"/>
      <c r="H5" s="4034"/>
      <c r="I5" s="4034"/>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482">
        <v>1</v>
      </c>
      <c r="D8" s="1289" t="s">
        <v>3844</v>
      </c>
      <c r="E8" s="1289"/>
      <c r="F8" s="1289"/>
      <c r="G8" s="1289"/>
      <c r="H8" s="1289"/>
      <c r="I8" s="1289"/>
      <c r="J8" s="4037"/>
      <c r="K8" s="4038"/>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482">
        <v>2</v>
      </c>
      <c r="D11" s="1289" t="s">
        <v>3846</v>
      </c>
      <c r="E11" s="1291"/>
      <c r="F11" s="1291"/>
      <c r="G11" s="1291"/>
      <c r="H11" s="1291"/>
      <c r="I11" s="1291"/>
      <c r="J11" s="4044"/>
      <c r="K11" s="4045"/>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483">
        <v>3</v>
      </c>
      <c r="D14" s="1293" t="s">
        <v>3848</v>
      </c>
      <c r="E14" s="1293"/>
      <c r="F14" s="1293"/>
      <c r="G14" s="1293"/>
      <c r="H14" s="1293"/>
      <c r="I14" s="1293"/>
      <c r="J14" s="4046"/>
      <c r="K14" s="4047"/>
    </row>
    <row r="15" spans="1:11" ht="14.25" customHeight="1">
      <c r="A15" s="1270"/>
      <c r="B15" s="1270"/>
      <c r="C15" s="1484">
        <v>4</v>
      </c>
      <c r="D15" s="1270" t="s">
        <v>3849</v>
      </c>
      <c r="E15" s="1270"/>
      <c r="F15" s="1270"/>
      <c r="G15" s="1270"/>
      <c r="H15" s="1270"/>
      <c r="I15" s="1270"/>
      <c r="J15" s="4048"/>
      <c r="K15" s="4049"/>
    </row>
    <row r="16" spans="1:11" ht="14.25" customHeight="1">
      <c r="A16" s="1270"/>
      <c r="B16" s="1270"/>
      <c r="C16" s="1484">
        <v>5</v>
      </c>
      <c r="D16" s="1270" t="s">
        <v>3850</v>
      </c>
      <c r="E16" s="1270"/>
      <c r="F16" s="1270"/>
      <c r="G16" s="1270"/>
      <c r="H16" s="1270"/>
      <c r="I16" s="1270"/>
      <c r="J16" s="4048"/>
      <c r="K16" s="4049"/>
    </row>
    <row r="17" spans="1:13" ht="14.25" customHeight="1">
      <c r="A17" s="1270"/>
      <c r="B17" s="1270"/>
      <c r="C17" s="1485">
        <v>6</v>
      </c>
      <c r="D17" s="1273" t="s">
        <v>3851</v>
      </c>
      <c r="E17" s="1273"/>
      <c r="F17" s="1273"/>
      <c r="G17" s="1273"/>
      <c r="H17" s="1273"/>
      <c r="I17" s="1273"/>
      <c r="J17" s="4050"/>
      <c r="K17" s="4051"/>
    </row>
    <row r="18" spans="1:13" ht="7.15" customHeight="1">
      <c r="A18" s="4039"/>
      <c r="B18" s="4039"/>
      <c r="C18" s="4039"/>
      <c r="D18" s="4040"/>
      <c r="E18" s="4040"/>
      <c r="F18" s="4040"/>
      <c r="G18" s="4040"/>
      <c r="H18" s="4040"/>
      <c r="I18" s="4040"/>
      <c r="J18" s="4040"/>
      <c r="K18" s="1292"/>
    </row>
    <row r="19" spans="1:13" ht="14.25" customHeight="1">
      <c r="A19" s="1270"/>
      <c r="B19" s="1270"/>
      <c r="C19" s="1483">
        <v>7</v>
      </c>
      <c r="D19" s="1293" t="s">
        <v>3852</v>
      </c>
      <c r="E19" s="1293"/>
      <c r="F19" s="1293"/>
      <c r="G19" s="1293"/>
      <c r="H19" s="1293"/>
      <c r="I19" s="1293"/>
      <c r="J19" s="4035" t="str">
        <f>IF(J17="No",J14-J15,IF(J17="Yes",J14-J15-J16,"Error"))</f>
        <v>Error</v>
      </c>
      <c r="K19" s="4036"/>
    </row>
    <row r="20" spans="1:13" ht="14.25" customHeight="1">
      <c r="A20" s="1270"/>
      <c r="B20" s="1270"/>
      <c r="C20" s="148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48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059" t="s">
        <v>4068</v>
      </c>
      <c r="C31" s="4059"/>
      <c r="D31" s="4059"/>
      <c r="E31" s="4059"/>
      <c r="F31" s="4059"/>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083" t="s">
        <v>3868</v>
      </c>
      <c r="H57" s="4084"/>
      <c r="I57" s="4081" t="s">
        <v>3882</v>
      </c>
      <c r="J57" s="4082"/>
      <c r="K57" s="4085"/>
      <c r="L57" s="4020" t="s">
        <v>5025</v>
      </c>
      <c r="M57" s="4021"/>
    </row>
    <row r="58" spans="1:13" ht="15" customHeight="1">
      <c r="A58" s="1388"/>
      <c r="B58" s="1318"/>
      <c r="C58" s="1296">
        <f>SUMIF(C33:C51, "0", H33:H51)</f>
        <v>0</v>
      </c>
      <c r="D58" s="1399">
        <f t="shared" ref="D58:D63" si="4">ROUNDUP(C58*1.1,0)</f>
        <v>0</v>
      </c>
      <c r="E58" s="4087" t="s">
        <v>3869</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2455</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2456</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2459</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3870</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3871</v>
      </c>
      <c r="F63" s="4097"/>
      <c r="G63" s="4089" t="e">
        <f>#REF!</f>
        <v>#REF!</v>
      </c>
      <c r="H63" s="4090"/>
      <c r="I63" s="4098" t="e">
        <f t="shared" si="5"/>
        <v>#REF!</v>
      </c>
      <c r="J63" s="4098"/>
      <c r="K63" s="1321"/>
      <c r="L63" s="4022"/>
      <c r="M63" s="40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4" t="e">
        <f>CONCATENATE("PART SEVEN - THRESHOLD CRITERIA","  -  ",#REF!," ",#REF!,", ",#REF!,", ",#REF!," County")</f>
        <v>#REF!</v>
      </c>
      <c r="B1" s="3215"/>
      <c r="C1" s="3215"/>
      <c r="D1" s="3215"/>
      <c r="E1" s="3215"/>
      <c r="F1" s="3215"/>
      <c r="G1" s="3215"/>
      <c r="H1" s="3215"/>
      <c r="I1" s="3215"/>
      <c r="J1" s="3215"/>
      <c r="K1" s="3215"/>
      <c r="L1" s="3215"/>
      <c r="M1" s="3215"/>
      <c r="N1" s="3215"/>
      <c r="O1" s="3215"/>
      <c r="P1" s="3215"/>
      <c r="Q1" s="3215"/>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4426</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4425</v>
      </c>
      <c r="M5" s="1717" t="e">
        <f>#REF!</f>
        <v>#REF!</v>
      </c>
      <c r="N5" s="1718"/>
      <c r="O5" s="1719"/>
      <c r="P5" s="4192"/>
      <c r="Q5" s="4103"/>
      <c r="R5" s="1516"/>
      <c r="S5" s="1516"/>
    </row>
    <row r="6" spans="1:19" ht="17.25" customHeight="1">
      <c r="A6" s="96" t="s">
        <v>4424</v>
      </c>
      <c r="I6" s="489"/>
      <c r="J6" s="489"/>
      <c r="K6" s="4187" t="s">
        <v>3197</v>
      </c>
      <c r="L6" s="4187"/>
      <c r="M6" s="4187"/>
      <c r="N6" s="4187"/>
      <c r="O6" s="4188"/>
      <c r="P6" s="4182"/>
      <c r="Q6" s="4183"/>
      <c r="R6" s="1516"/>
      <c r="S6" s="1516"/>
    </row>
    <row r="7" spans="1:19" ht="12.6" customHeight="1">
      <c r="A7" s="97" t="s">
        <v>2982</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7" t="s">
        <v>1878</v>
      </c>
      <c r="S8" s="2908"/>
    </row>
    <row r="9" spans="1:19" ht="23.25" customHeight="1">
      <c r="A9" s="4163" t="s">
        <v>218</v>
      </c>
      <c r="B9" s="4164"/>
      <c r="C9" s="4164"/>
      <c r="D9" s="4164"/>
      <c r="E9" s="4164"/>
      <c r="F9" s="4164"/>
      <c r="G9" s="4164"/>
      <c r="H9" s="4164"/>
      <c r="I9" s="4164"/>
      <c r="J9" s="4164"/>
      <c r="K9" s="4164"/>
      <c r="L9" s="4164"/>
      <c r="M9" s="4164"/>
      <c r="N9" s="4164"/>
      <c r="O9" s="4164"/>
      <c r="P9" s="4164"/>
      <c r="Q9" s="4165"/>
      <c r="R9" s="2947"/>
      <c r="S9" s="2908"/>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7"/>
      <c r="S10" s="2908"/>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7"/>
      <c r="S11" s="2908"/>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7"/>
      <c r="S15" s="2908"/>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7"/>
      <c r="S16" s="2908"/>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7"/>
      <c r="S17" s="2908"/>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7"/>
      <c r="S18" s="2908"/>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7"/>
      <c r="S19" s="2908"/>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7"/>
      <c r="S20" s="2908"/>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7"/>
      <c r="S22" s="2908"/>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7"/>
      <c r="S23" s="2908"/>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7"/>
      <c r="S24" s="2908"/>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7"/>
      <c r="S25" s="2908"/>
    </row>
    <row r="26" spans="1:31" ht="6" customHeight="1"/>
    <row r="27" spans="1:31" ht="14.1" customHeight="1">
      <c r="A27" s="98" t="s">
        <v>688</v>
      </c>
      <c r="B27" s="99" t="s">
        <v>4528</v>
      </c>
      <c r="C27" s="100"/>
      <c r="D27" s="66"/>
      <c r="E27" s="66"/>
      <c r="F27" s="66"/>
      <c r="G27" s="66"/>
      <c r="I27" s="878"/>
      <c r="J27" s="878"/>
      <c r="K27" s="878"/>
      <c r="L27" s="674"/>
      <c r="M27" s="674"/>
      <c r="O27" s="101" t="s">
        <v>1726</v>
      </c>
      <c r="P27" s="4125"/>
      <c r="Q27" s="4114"/>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4536</v>
      </c>
      <c r="C35" s="4"/>
      <c r="D35" s="4"/>
      <c r="E35" s="874"/>
      <c r="F35" s="874"/>
      <c r="H35" s="874"/>
      <c r="J35" s="2928" t="s">
        <v>4362</v>
      </c>
      <c r="K35" s="2929"/>
      <c r="L35" s="2930"/>
      <c r="M35" s="147" t="s">
        <v>1642</v>
      </c>
      <c r="N35" s="4278"/>
      <c r="O35" s="4279"/>
      <c r="P35" s="4279"/>
      <c r="Q35" s="4280"/>
    </row>
    <row r="36" spans="1:31" ht="12.75" customHeight="1">
      <c r="A36" s="2"/>
      <c r="B36" s="108" t="s">
        <v>4535</v>
      </c>
      <c r="C36" s="4"/>
      <c r="D36" s="4"/>
      <c r="E36" s="874"/>
      <c r="F36" s="874"/>
      <c r="G36" s="1576"/>
      <c r="H36" s="874"/>
      <c r="J36" s="2928" t="s">
        <v>4363</v>
      </c>
      <c r="K36" s="2929"/>
      <c r="L36" s="2930"/>
      <c r="M36" s="147" t="s">
        <v>1642</v>
      </c>
      <c r="N36" s="4278"/>
      <c r="O36" s="4279"/>
      <c r="P36" s="4279"/>
      <c r="Q36" s="4280"/>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5"/>
      <c r="Q40" s="4114"/>
    </row>
    <row r="41" spans="1:31" ht="1.5" customHeight="1"/>
    <row r="42" spans="1:31" ht="12" customHeight="1">
      <c r="A42" s="110" t="s">
        <v>1836</v>
      </c>
      <c r="B42" s="4107" t="s">
        <v>3660</v>
      </c>
      <c r="C42" s="4107"/>
      <c r="D42" s="4107"/>
      <c r="E42" s="4107"/>
      <c r="F42" s="4107"/>
      <c r="G42" s="4107"/>
      <c r="H42" s="4107"/>
      <c r="I42" s="4107"/>
      <c r="J42" s="4107"/>
      <c r="K42" s="115"/>
      <c r="L42" s="346" t="s">
        <v>2573</v>
      </c>
      <c r="M42" s="1144">
        <v>2</v>
      </c>
      <c r="N42" s="108" t="s">
        <v>3892</v>
      </c>
      <c r="P42" s="4147"/>
      <c r="Q42" s="4159"/>
    </row>
    <row r="43" spans="1:31" ht="12" customHeight="1">
      <c r="A43" s="110"/>
      <c r="B43" s="4107"/>
      <c r="C43" s="4107"/>
      <c r="D43" s="4107"/>
      <c r="E43" s="4107"/>
      <c r="F43" s="4107"/>
      <c r="G43" s="4107"/>
      <c r="H43" s="4107"/>
      <c r="I43" s="4107"/>
      <c r="J43" s="4107"/>
      <c r="K43" s="115"/>
      <c r="L43" s="346" t="s">
        <v>3664</v>
      </c>
      <c r="M43" s="1145">
        <v>4</v>
      </c>
      <c r="O43" s="111"/>
      <c r="P43" s="4148"/>
      <c r="Q43" s="4160"/>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70"/>
      <c r="M50" s="4171"/>
      <c r="N50" s="4171"/>
      <c r="O50" s="4171"/>
      <c r="P50" s="4171"/>
      <c r="Q50" s="4172"/>
    </row>
    <row r="51" spans="1:31" ht="12.75" customHeight="1">
      <c r="A51" s="112"/>
      <c r="B51" s="371" t="s">
        <v>1446</v>
      </c>
      <c r="C51" s="4107" t="s">
        <v>3670</v>
      </c>
      <c r="D51" s="4107"/>
      <c r="E51" s="4107"/>
      <c r="F51" s="4107"/>
      <c r="G51" s="4107"/>
      <c r="H51" s="4107"/>
      <c r="I51" s="4107"/>
      <c r="J51" s="4107"/>
      <c r="K51" s="4107"/>
      <c r="L51" s="4107"/>
      <c r="M51" s="412"/>
      <c r="N51" s="108" t="s">
        <v>3897</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3821</v>
      </c>
      <c r="D59" s="103"/>
      <c r="E59" s="103"/>
      <c r="F59" s="103"/>
      <c r="L59" s="48" t="s">
        <v>1838</v>
      </c>
      <c r="M59" s="4144"/>
      <c r="N59" s="4145"/>
      <c r="O59" s="4145"/>
      <c r="P59" s="3105"/>
      <c r="Q59" s="419"/>
    </row>
    <row r="60" spans="1:31" ht="12.75" customHeight="1">
      <c r="A60" s="40" t="s">
        <v>697</v>
      </c>
      <c r="B60" s="29" t="s">
        <v>2550</v>
      </c>
      <c r="D60" s="103"/>
      <c r="E60" s="103"/>
      <c r="F60" s="103"/>
      <c r="L60" s="48" t="s">
        <v>697</v>
      </c>
      <c r="M60" s="4140"/>
      <c r="N60" s="4141"/>
      <c r="O60" s="4141"/>
      <c r="P60" s="4142"/>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7" t="s">
        <v>3824</v>
      </c>
      <c r="D84" s="4107"/>
      <c r="E84" s="4107"/>
      <c r="F84" s="4107"/>
      <c r="G84" s="4107"/>
      <c r="H84" s="4107"/>
      <c r="I84" s="4107"/>
      <c r="J84" s="4107"/>
      <c r="K84" s="4107"/>
      <c r="L84" s="4107"/>
      <c r="M84" s="4107"/>
      <c r="N84" s="4107"/>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4427</v>
      </c>
      <c r="O92" s="101" t="s">
        <v>1726</v>
      </c>
      <c r="P92" s="4125"/>
      <c r="Q92" s="4114"/>
      <c r="R92" s="847" t="s">
        <v>4414</v>
      </c>
    </row>
    <row r="93" spans="1:31" ht="6.6" customHeight="1"/>
    <row r="94" spans="1:31">
      <c r="A94" s="40" t="s">
        <v>1836</v>
      </c>
      <c r="B94" s="29" t="s">
        <v>4083</v>
      </c>
      <c r="D94" s="103"/>
      <c r="E94" s="103"/>
      <c r="F94" s="103"/>
      <c r="G94" s="103"/>
      <c r="H94" s="103"/>
      <c r="I94" s="35"/>
      <c r="J94" s="35"/>
      <c r="K94" s="48" t="s">
        <v>1836</v>
      </c>
      <c r="L94" s="4257"/>
      <c r="M94" s="4257"/>
      <c r="N94" s="4257"/>
      <c r="O94" s="4257"/>
      <c r="P94" s="4258"/>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3198</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5"/>
      <c r="Q130" s="4114"/>
      <c r="R130" s="847" t="s">
        <v>4414</v>
      </c>
    </row>
    <row r="131" spans="1:31" ht="12" customHeight="1">
      <c r="A131" s="40" t="s">
        <v>1836</v>
      </c>
      <c r="B131" s="113" t="s">
        <v>1611</v>
      </c>
      <c r="C131" s="29" t="s">
        <v>4429</v>
      </c>
      <c r="D131" s="29"/>
      <c r="E131" s="29"/>
      <c r="F131" s="29"/>
      <c r="G131" s="29"/>
      <c r="K131" s="29" t="s">
        <v>2453</v>
      </c>
      <c r="M131" s="4149"/>
      <c r="N131" s="4150"/>
      <c r="O131" s="49" t="s">
        <v>1611</v>
      </c>
      <c r="P131" s="74"/>
      <c r="Q131" s="416"/>
    </row>
    <row r="132" spans="1:31" ht="12" customHeight="1">
      <c r="A132" s="40"/>
      <c r="B132" s="113" t="s">
        <v>1612</v>
      </c>
      <c r="C132" s="29" t="s">
        <v>3925</v>
      </c>
      <c r="D132" s="29"/>
      <c r="E132" s="29"/>
      <c r="F132" s="29"/>
      <c r="G132" s="29"/>
      <c r="K132" s="29" t="s">
        <v>2453</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4693</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4089</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6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3149</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3675</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3150</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3708</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6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5"/>
      <c r="Q151" s="4114"/>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3151</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3222</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6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5"/>
      <c r="Q169" s="4114"/>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3156</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5"/>
      <c r="Q177" s="4114"/>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4090</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4" t="s">
        <v>3731</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3313</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5"/>
      <c r="J200" s="3006"/>
      <c r="K200" s="3006"/>
      <c r="L200" s="3006"/>
      <c r="M200" s="3006"/>
      <c r="N200" s="3006"/>
      <c r="O200" s="300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5" t="s">
        <v>3313</v>
      </c>
      <c r="J201" s="3006"/>
      <c r="K201" s="3006"/>
      <c r="L201" s="3006"/>
      <c r="M201" s="3006"/>
      <c r="N201" s="3006"/>
      <c r="O201" s="300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6" t="s">
        <v>949</v>
      </c>
      <c r="D202" s="4157"/>
      <c r="E202" s="4157"/>
      <c r="F202" s="4157"/>
      <c r="G202" s="4158"/>
      <c r="H202" s="48" t="s">
        <v>3741</v>
      </c>
      <c r="I202" s="3044"/>
      <c r="J202" s="3045"/>
      <c r="K202" s="3045"/>
      <c r="L202" s="3045"/>
      <c r="M202" s="3045"/>
      <c r="N202" s="3045"/>
      <c r="O202" s="3047"/>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4637</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25"/>
      <c r="Q217" s="4114"/>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5"/>
      <c r="C221" s="3006"/>
      <c r="D221" s="3006"/>
      <c r="E221" s="3006"/>
      <c r="F221" s="3006"/>
      <c r="G221" s="3006"/>
      <c r="H221" s="3006"/>
      <c r="I221" s="3006"/>
      <c r="J221" s="1882"/>
      <c r="K221" s="3005"/>
      <c r="L221" s="3006"/>
      <c r="M221" s="3006"/>
      <c r="N221" s="3006"/>
      <c r="O221" s="3006"/>
      <c r="P221" s="3006"/>
      <c r="Q221" s="1882"/>
    </row>
    <row r="222" spans="1:44" s="102" customFormat="1" ht="11.25" customHeight="1">
      <c r="A222" s="110"/>
      <c r="B222" s="3005"/>
      <c r="C222" s="3006"/>
      <c r="D222" s="3006"/>
      <c r="E222" s="3006"/>
      <c r="F222" s="3006"/>
      <c r="G222" s="3006"/>
      <c r="H222" s="3006"/>
      <c r="I222" s="3006"/>
      <c r="J222" s="1882"/>
      <c r="K222" s="3005"/>
      <c r="L222" s="3006"/>
      <c r="M222" s="3006"/>
      <c r="N222" s="3006"/>
      <c r="O222" s="3006"/>
      <c r="P222" s="3006"/>
      <c r="Q222" s="1882"/>
    </row>
    <row r="223" spans="1:44" s="102" customFormat="1" ht="11.25" customHeight="1">
      <c r="A223" s="110"/>
      <c r="B223" s="3005"/>
      <c r="C223" s="3006"/>
      <c r="D223" s="3006"/>
      <c r="E223" s="3006"/>
      <c r="F223" s="3006"/>
      <c r="G223" s="3006"/>
      <c r="H223" s="3006"/>
      <c r="I223" s="3006"/>
      <c r="J223" s="1882"/>
      <c r="K223" s="3005"/>
      <c r="L223" s="3006"/>
      <c r="M223" s="3006"/>
      <c r="N223" s="3006"/>
      <c r="O223" s="3006"/>
      <c r="P223" s="3006"/>
      <c r="Q223" s="1882"/>
    </row>
    <row r="224" spans="1:44" s="102" customFormat="1" ht="11.25" customHeight="1">
      <c r="A224" s="110"/>
      <c r="B224" s="3005"/>
      <c r="C224" s="3006"/>
      <c r="D224" s="3006"/>
      <c r="E224" s="3006"/>
      <c r="F224" s="3006"/>
      <c r="G224" s="3006"/>
      <c r="H224" s="3006"/>
      <c r="I224" s="3006"/>
      <c r="J224" s="1882"/>
      <c r="K224" s="3005"/>
      <c r="L224" s="3006"/>
      <c r="M224" s="3006"/>
      <c r="N224" s="3006"/>
      <c r="O224" s="3006"/>
      <c r="P224" s="3006"/>
      <c r="Q224" s="1882"/>
    </row>
    <row r="225" spans="1:44" s="102" customFormat="1" ht="11.25" customHeight="1">
      <c r="A225" s="110"/>
      <c r="B225" s="3005"/>
      <c r="C225" s="3006"/>
      <c r="D225" s="3006"/>
      <c r="E225" s="3006"/>
      <c r="F225" s="3006"/>
      <c r="G225" s="3006"/>
      <c r="H225" s="3006"/>
      <c r="I225" s="3006"/>
      <c r="J225" s="1882"/>
      <c r="K225" s="3005"/>
      <c r="L225" s="3006"/>
      <c r="M225" s="3006"/>
      <c r="N225" s="3006"/>
      <c r="O225" s="3006"/>
      <c r="P225" s="3006"/>
      <c r="Q225" s="1882"/>
    </row>
    <row r="226" spans="1:44" s="102" customFormat="1" ht="11.25" customHeight="1">
      <c r="A226" s="110"/>
      <c r="B226" s="3005"/>
      <c r="C226" s="3006"/>
      <c r="D226" s="3006"/>
      <c r="E226" s="3006"/>
      <c r="F226" s="3006"/>
      <c r="G226" s="3006"/>
      <c r="H226" s="3006"/>
      <c r="I226" s="3006"/>
      <c r="J226" s="1882"/>
      <c r="K226" s="3005"/>
      <c r="L226" s="3006"/>
      <c r="M226" s="3006"/>
      <c r="N226" s="3006"/>
      <c r="O226" s="3006"/>
      <c r="P226" s="3006"/>
      <c r="Q226" s="1882"/>
    </row>
    <row r="227" spans="1:44" s="102" customFormat="1" ht="11.25" customHeight="1">
      <c r="B227" s="3044"/>
      <c r="C227" s="3045"/>
      <c r="D227" s="3045"/>
      <c r="E227" s="3045"/>
      <c r="F227" s="3045"/>
      <c r="G227" s="3045"/>
      <c r="H227" s="3045"/>
      <c r="I227" s="3045"/>
      <c r="J227" s="1883"/>
      <c r="K227" s="3044"/>
      <c r="L227" s="3045"/>
      <c r="M227" s="3045"/>
      <c r="N227" s="3045"/>
      <c r="O227" s="3045"/>
      <c r="P227" s="3045"/>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4016</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4092</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4103</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4104</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3161</v>
      </c>
      <c r="C246" s="4267"/>
      <c r="D246" s="4267"/>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4399</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3901</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3926</v>
      </c>
      <c r="D260" s="4107"/>
      <c r="E260" s="4107"/>
      <c r="F260" s="4107"/>
      <c r="G260" s="4107"/>
      <c r="H260" s="4107"/>
      <c r="I260" s="4107"/>
      <c r="J260" s="4107"/>
      <c r="K260" s="4107"/>
      <c r="L260" s="4107"/>
      <c r="M260" s="4107"/>
      <c r="N260" s="4107"/>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4021</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3723</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2500</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3249</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4550</v>
      </c>
      <c r="D284" s="4107"/>
      <c r="E284" s="4107"/>
      <c r="F284" s="4107"/>
      <c r="G284" s="4107"/>
      <c r="H284" s="4107"/>
      <c r="I284" s="4107"/>
      <c r="J284" s="4107"/>
      <c r="K284" s="4107"/>
      <c r="L284" s="4107"/>
      <c r="M284" s="4107"/>
      <c r="N284" s="4107"/>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4551</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4098</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4101</v>
      </c>
      <c r="E288" s="4107"/>
      <c r="F288" s="4107"/>
      <c r="G288" s="4107"/>
      <c r="H288" s="4107"/>
      <c r="I288" s="108"/>
      <c r="J288" s="4166" t="s">
        <v>3182</v>
      </c>
      <c r="K288" s="4134"/>
      <c r="L288" s="4134"/>
      <c r="M288" s="4179" t="s">
        <v>3163</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3299</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4102</v>
      </c>
      <c r="E291" s="4107"/>
      <c r="F291" s="4107"/>
      <c r="G291" s="4107"/>
      <c r="H291" s="4107"/>
      <c r="I291" s="369" t="s">
        <v>3300</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4634</v>
      </c>
      <c r="D293" s="4107"/>
      <c r="E293" s="4107"/>
      <c r="F293" s="4107"/>
      <c r="G293" s="4107"/>
      <c r="H293" s="4107"/>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4613</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3162</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4552</v>
      </c>
      <c r="D299" s="4107"/>
      <c r="E299" s="4107"/>
      <c r="F299" s="4107"/>
      <c r="G299" s="4107"/>
      <c r="H299" s="4107"/>
      <c r="I299" s="4107"/>
      <c r="J299" s="4107"/>
      <c r="K299" s="4107"/>
      <c r="L299" s="4107"/>
      <c r="M299" s="4107"/>
      <c r="N299" s="4107"/>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3709</v>
      </c>
      <c r="D300" s="4107"/>
      <c r="E300" s="4107"/>
      <c r="F300" s="4107"/>
      <c r="G300" s="4107"/>
      <c r="H300" s="4107"/>
      <c r="I300" s="4107"/>
      <c r="J300" s="4107"/>
      <c r="K300" s="4107"/>
      <c r="L300" s="4107"/>
      <c r="M300" s="4107"/>
      <c r="N300" s="4107"/>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3084</v>
      </c>
      <c r="D301" s="4107"/>
      <c r="E301" s="4107"/>
      <c r="F301" s="4107"/>
      <c r="G301" s="4107"/>
      <c r="H301" s="4107"/>
      <c r="I301" s="4107"/>
      <c r="J301" s="4107"/>
      <c r="K301" s="4107"/>
      <c r="L301" s="4107"/>
      <c r="M301" s="4107"/>
      <c r="N301" s="4107"/>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3085</v>
      </c>
      <c r="D302" s="4107"/>
      <c r="E302" s="4107"/>
      <c r="F302" s="4107"/>
      <c r="G302" s="4107"/>
      <c r="H302" s="4107"/>
      <c r="I302" s="4107"/>
      <c r="J302" s="4107"/>
      <c r="K302" s="4107"/>
      <c r="L302" s="4107"/>
      <c r="M302" s="4107"/>
      <c r="N302" s="4107"/>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4562</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7" t="s">
        <v>1065</v>
      </c>
      <c r="D315" s="4107"/>
      <c r="E315" s="4107"/>
      <c r="F315" s="4175"/>
      <c r="G315" s="3044"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6" t="s">
        <v>4023</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4024</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4428</v>
      </c>
      <c r="C326" s="2"/>
      <c r="D326" s="874"/>
      <c r="E326" s="874"/>
      <c r="F326" s="874"/>
      <c r="G326" s="874"/>
      <c r="H326" s="874"/>
      <c r="N326" s="845" t="s">
        <v>4427</v>
      </c>
      <c r="O326" s="101" t="s">
        <v>1726</v>
      </c>
      <c r="P326" s="4125"/>
      <c r="Q326" s="4114"/>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225" t="s">
        <v>1641</v>
      </c>
      <c r="O329" s="4226"/>
      <c r="P329" s="4227" t="s">
        <v>1641</v>
      </c>
      <c r="Q329" s="4228"/>
    </row>
    <row r="330" spans="1:256" ht="11.65" customHeight="1">
      <c r="A330" s="40" t="s">
        <v>1957</v>
      </c>
      <c r="B330" s="44" t="s">
        <v>4432</v>
      </c>
      <c r="O330" s="48" t="s">
        <v>1957</v>
      </c>
      <c r="P330" s="1337"/>
      <c r="Q330" s="1336"/>
    </row>
    <row r="331" spans="1:256" ht="11.65" customHeight="1">
      <c r="A331" s="110" t="s">
        <v>1609</v>
      </c>
      <c r="B331" s="44" t="s">
        <v>4433</v>
      </c>
      <c r="N331" s="128" t="s">
        <v>1609</v>
      </c>
      <c r="O331" s="4219" t="s">
        <v>2552</v>
      </c>
      <c r="P331" s="4220"/>
      <c r="Q331" s="4221"/>
    </row>
    <row r="332" spans="1:256" ht="11.65" customHeight="1">
      <c r="A332" s="110" t="s">
        <v>1610</v>
      </c>
      <c r="B332" s="67" t="s">
        <v>2164</v>
      </c>
      <c r="N332" s="128" t="s">
        <v>1610</v>
      </c>
      <c r="O332" s="4176" t="s">
        <v>2552</v>
      </c>
      <c r="P332" s="4177"/>
      <c r="Q332" s="4178"/>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7" t="s">
        <v>4580</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4581</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4582</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3271</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3272</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3263</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3264</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3266</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7" t="s">
        <v>3268</v>
      </c>
      <c r="C363" s="4107"/>
      <c r="D363" s="4107"/>
      <c r="E363" s="4107"/>
      <c r="F363" s="4107"/>
      <c r="G363" s="4107"/>
      <c r="H363" s="4107"/>
      <c r="I363" s="4107"/>
      <c r="J363" s="4107"/>
      <c r="K363" s="4107"/>
      <c r="L363" s="4107"/>
      <c r="M363" s="4107"/>
      <c r="N363" s="4107"/>
      <c r="O363" s="128" t="s">
        <v>2932</v>
      </c>
      <c r="P363" s="881"/>
      <c r="Q363" s="880"/>
    </row>
    <row r="364" spans="1:31" ht="33" customHeight="1">
      <c r="A364" s="110" t="s">
        <v>572</v>
      </c>
      <c r="B364" s="4107" t="s">
        <v>3269</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65"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2997</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3117</v>
      </c>
      <c r="G374" s="876"/>
      <c r="H374" s="876"/>
      <c r="I374" s="876"/>
      <c r="J374" s="33" t="s">
        <v>3118</v>
      </c>
      <c r="L374" s="876"/>
      <c r="M374" s="4245" t="e">
        <f>#REF!</f>
        <v>#REF!</v>
      </c>
      <c r="N374" s="4246"/>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6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6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3814</v>
      </c>
      <c r="C391" s="4"/>
      <c r="D391" s="4"/>
      <c r="E391" s="4"/>
      <c r="F391" s="4"/>
      <c r="G391" s="4"/>
      <c r="H391" s="874"/>
      <c r="I391" s="874"/>
      <c r="J391" s="874"/>
      <c r="K391" s="874"/>
      <c r="L391" s="874"/>
      <c r="M391" s="874"/>
      <c r="O391" s="101" t="s">
        <v>1726</v>
      </c>
      <c r="P391" s="4259"/>
      <c r="Q391" s="4260"/>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7"/>
      <c r="Q395" s="4205"/>
    </row>
    <row r="396" spans="1:31" ht="12" customHeight="1">
      <c r="A396" s="40"/>
      <c r="D396" s="29" t="s">
        <v>4398</v>
      </c>
      <c r="E396" s="29"/>
      <c r="F396" s="29"/>
      <c r="G396" s="29"/>
      <c r="H396" s="29"/>
      <c r="I396" s="29"/>
      <c r="J396" s="29"/>
      <c r="K396" s="29"/>
      <c r="L396" s="29"/>
      <c r="M396" s="29"/>
      <c r="N396" s="35"/>
      <c r="O396" s="1335"/>
      <c r="P396" s="4208"/>
      <c r="Q396" s="4206"/>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4051</v>
      </c>
      <c r="D400" s="4107"/>
      <c r="E400" s="4107"/>
      <c r="F400" s="4107"/>
      <c r="G400" s="29" t="s">
        <v>3818</v>
      </c>
      <c r="J400" s="705"/>
      <c r="K400" s="425"/>
      <c r="M400" s="29" t="s">
        <v>4122</v>
      </c>
      <c r="P400" s="1670"/>
      <c r="Q400" s="1671"/>
    </row>
    <row r="401" spans="1:44" ht="12" customHeight="1">
      <c r="A401" s="40"/>
      <c r="C401" s="4107"/>
      <c r="D401" s="4107"/>
      <c r="E401" s="4107"/>
      <c r="F401" s="4107"/>
      <c r="G401" s="29" t="s">
        <v>4121</v>
      </c>
      <c r="J401" s="706"/>
      <c r="K401" s="426"/>
      <c r="M401" s="29" t="s">
        <v>4123</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4078</v>
      </c>
      <c r="J403" s="4166" t="s">
        <v>4079</v>
      </c>
      <c r="K403" s="4166" t="s">
        <v>4081</v>
      </c>
      <c r="L403" s="4166"/>
      <c r="M403" s="4166"/>
      <c r="N403" s="4247" t="s">
        <v>4080</v>
      </c>
      <c r="O403" s="48"/>
      <c r="P403" s="4099" t="s">
        <v>4592</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4192</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4193</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2" t="s">
        <v>4126</v>
      </c>
      <c r="E416" s="351" t="s">
        <v>2257</v>
      </c>
      <c r="F416" s="44" t="s">
        <v>3204</v>
      </c>
      <c r="G416" s="4261"/>
      <c r="H416" s="4262"/>
      <c r="I416" s="4262"/>
      <c r="J416" s="4262"/>
      <c r="K416" s="4263"/>
      <c r="L416" s="351"/>
    </row>
    <row r="417" spans="1:31" ht="12" customHeight="1">
      <c r="B417" s="115"/>
      <c r="D417" s="4282"/>
      <c r="E417" s="351" t="s">
        <v>3815</v>
      </c>
      <c r="F417" s="44" t="s">
        <v>3816</v>
      </c>
      <c r="G417" s="4236" t="s">
        <v>3120</v>
      </c>
      <c r="H417" s="4237"/>
      <c r="I417" s="4238"/>
      <c r="J417" s="44" t="s">
        <v>3678</v>
      </c>
      <c r="K417" s="115"/>
      <c r="M417" s="4261"/>
      <c r="N417" s="4262"/>
      <c r="O417" s="4262"/>
      <c r="P417" s="4262"/>
      <c r="Q417" s="4263"/>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253"/>
      <c r="C419" s="4254"/>
      <c r="D419" s="4254"/>
      <c r="E419" s="4254"/>
      <c r="F419" s="4254"/>
      <c r="G419" s="4254"/>
      <c r="H419" s="4254"/>
      <c r="I419" s="4254"/>
      <c r="J419" s="4254"/>
      <c r="K419" s="4254"/>
      <c r="L419" s="4254"/>
      <c r="M419" s="4254"/>
      <c r="N419" s="4254"/>
      <c r="O419" s="4254"/>
      <c r="P419" s="4254"/>
      <c r="Q419" s="4255"/>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3905</v>
      </c>
      <c r="C421" s="4107"/>
      <c r="D421" s="4107"/>
      <c r="E421" s="4107"/>
      <c r="F421" s="4107"/>
      <c r="G421" s="4107"/>
      <c r="H421" s="4107"/>
      <c r="I421" s="4107"/>
      <c r="J421" s="4107"/>
      <c r="K421" s="4107"/>
      <c r="L421" s="4107"/>
      <c r="M421" s="4107"/>
      <c r="N421" s="4107"/>
    </row>
    <row r="422" spans="1:31" s="115" customFormat="1" ht="45" customHeight="1">
      <c r="B422" s="4107" t="s">
        <v>4438</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3156</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2501</v>
      </c>
      <c r="C428" s="4"/>
      <c r="D428" s="66"/>
      <c r="E428" s="874"/>
      <c r="F428" s="874"/>
      <c r="G428" s="874"/>
      <c r="H428" s="874"/>
      <c r="O428" s="101" t="s">
        <v>1726</v>
      </c>
      <c r="P428" s="4125"/>
      <c r="Q428" s="4114"/>
    </row>
    <row r="429" spans="1:31" ht="14.1" customHeight="1">
      <c r="B429" s="66" t="s">
        <v>3773</v>
      </c>
      <c r="C429" s="4"/>
      <c r="D429" s="66"/>
      <c r="E429" s="874"/>
      <c r="F429" s="874"/>
      <c r="G429" s="874"/>
      <c r="H429" s="874"/>
    </row>
    <row r="430" spans="1:31" s="102" customFormat="1" ht="21.75" customHeight="1">
      <c r="A430" s="110" t="s">
        <v>1836</v>
      </c>
      <c r="B430" s="4107" t="s">
        <v>3227</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3226</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3743</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3745</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3746</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3228</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3793</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3794</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3827</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3194</v>
      </c>
      <c r="P463" s="1786"/>
      <c r="R463" s="44"/>
    </row>
    <row r="464" spans="1:18" s="794" customFormat="1" ht="11.25">
      <c r="A464" s="44"/>
      <c r="B464" s="44"/>
      <c r="C464" s="1787" t="s">
        <v>1972</v>
      </c>
      <c r="J464" s="1785" t="s">
        <v>1601</v>
      </c>
      <c r="N464" s="795"/>
      <c r="O464" s="794" t="s">
        <v>3195</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3165</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3177</v>
      </c>
      <c r="R518" s="44"/>
    </row>
    <row r="519" spans="1:18" s="794" customFormat="1" ht="11.25">
      <c r="A519" s="44"/>
      <c r="B519" s="44"/>
      <c r="M519" s="794" t="s">
        <v>3249</v>
      </c>
      <c r="R519" s="44"/>
    </row>
    <row r="520" spans="1:18" s="794" customFormat="1" ht="11.25">
      <c r="A520" s="44"/>
      <c r="B520" s="44"/>
      <c r="M520" s="794" t="s">
        <v>3244</v>
      </c>
      <c r="R520" s="44"/>
    </row>
    <row r="521" spans="1:18" s="794" customFormat="1" ht="11.25">
      <c r="A521" s="44"/>
      <c r="B521" s="44"/>
      <c r="M521" s="794" t="s">
        <v>3170</v>
      </c>
      <c r="R521" s="44"/>
    </row>
    <row r="522" spans="1:18" s="794" customFormat="1" ht="11.25">
      <c r="A522" s="44"/>
      <c r="B522" s="44"/>
      <c r="M522" s="794" t="s">
        <v>3240</v>
      </c>
      <c r="R522" s="44"/>
    </row>
    <row r="523" spans="1:18" s="794" customFormat="1" ht="11.25">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6" t="s">
        <v>4419</v>
      </c>
      <c r="B2" s="4296"/>
      <c r="C2" s="147"/>
      <c r="D2" s="782">
        <v>2021</v>
      </c>
      <c r="E2" s="144"/>
      <c r="F2" s="4331" t="s">
        <v>2927</v>
      </c>
      <c r="G2" s="4332"/>
      <c r="H2" s="4332"/>
      <c r="I2" s="4332"/>
      <c r="J2" s="4333"/>
      <c r="K2" s="234"/>
      <c r="L2" s="442" t="s">
        <v>3057</v>
      </c>
      <c r="M2" s="234"/>
      <c r="N2" s="4331" t="s">
        <v>2927</v>
      </c>
      <c r="O2" s="4332"/>
      <c r="P2" s="4332"/>
      <c r="Q2" s="4332"/>
      <c r="R2" s="4333"/>
      <c r="S2" s="241"/>
      <c r="T2" s="144"/>
      <c r="U2" s="144"/>
      <c r="V2" s="321"/>
      <c r="W2" s="321"/>
      <c r="X2" s="321"/>
      <c r="AA2" s="68"/>
      <c r="AB2" s="68"/>
    </row>
    <row r="3" spans="1:28" s="145" customFormat="1" ht="11.65" customHeight="1">
      <c r="A3" s="4296"/>
      <c r="B3" s="429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6"/>
      <c r="B4" s="429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2458</v>
      </c>
      <c r="H45" s="4288"/>
      <c r="I45" s="66"/>
      <c r="J45" s="35"/>
      <c r="K45" s="4289" t="s">
        <v>3080</v>
      </c>
      <c r="L45" s="4290"/>
      <c r="M45" s="4290"/>
      <c r="N45" s="4291"/>
    </row>
    <row r="46" spans="1:295" s="28" customFormat="1" ht="11.25" customHeight="1">
      <c r="A46" s="4303"/>
      <c r="B46" s="4303"/>
      <c r="C46" s="4303"/>
      <c r="D46" s="4303"/>
      <c r="E46" s="4303"/>
      <c r="F46" s="1186"/>
      <c r="G46" s="4292" t="s">
        <v>333</v>
      </c>
      <c r="H46" s="4293"/>
      <c r="I46" s="66"/>
      <c r="J46" s="35"/>
      <c r="K46" s="4298" t="s">
        <v>3081</v>
      </c>
      <c r="L46" s="4299"/>
      <c r="M46" s="4299"/>
      <c r="N46" s="4300"/>
      <c r="P46" s="404" t="s">
        <v>2467</v>
      </c>
      <c r="Q46" s="74"/>
    </row>
    <row r="47" spans="1:295" s="28" customFormat="1" ht="4.5" customHeight="1">
      <c r="A47" s="1186"/>
      <c r="B47" s="1186"/>
      <c r="C47" s="1186"/>
      <c r="D47" s="1186"/>
      <c r="E47" s="1186"/>
      <c r="F47" s="1186"/>
      <c r="G47" s="66"/>
      <c r="H47" s="66"/>
      <c r="I47" s="66"/>
      <c r="J47" s="35"/>
      <c r="K47" s="4243"/>
      <c r="L47" s="4243"/>
      <c r="M47" s="4243"/>
      <c r="N47" s="4243"/>
      <c r="P47" s="4301" t="s">
        <v>3811</v>
      </c>
      <c r="Q47" s="4301"/>
    </row>
    <row r="48" spans="1:295" s="62" customFormat="1" ht="10.5" customHeight="1">
      <c r="D48" s="490" t="s">
        <v>2457</v>
      </c>
      <c r="E48" s="28"/>
      <c r="F48" s="491" t="s">
        <v>2983</v>
      </c>
      <c r="G48" s="4316" t="s">
        <v>3769</v>
      </c>
      <c r="H48" s="4316"/>
      <c r="I48" s="4316"/>
      <c r="J48" s="28"/>
      <c r="K48" s="491" t="s">
        <v>2983</v>
      </c>
      <c r="L48" s="4316" t="s">
        <v>3768</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2926</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3812</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9" t="s">
        <v>3803</v>
      </c>
      <c r="Q54" s="4099"/>
      <c r="R54" s="4334" t="s">
        <v>4197</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2921</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3" t="s">
        <v>3277</v>
      </c>
      <c r="Q57" s="330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3806</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3076</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3077</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2484</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3361</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4" t="e">
        <f>CONCATENATE("PART EIGHT - SCORING CRITERIA","  -  ",#REF!," ",#REF!,", ",#REF!,", ",#REF!," County")</f>
        <v>#REF!</v>
      </c>
      <c r="B1" s="3215"/>
      <c r="C1" s="3215"/>
      <c r="D1" s="3215"/>
      <c r="E1" s="3215"/>
      <c r="F1" s="3215"/>
      <c r="G1" s="3215"/>
      <c r="H1" s="3215"/>
      <c r="I1" s="3215"/>
      <c r="J1" s="3215"/>
      <c r="K1" s="3215"/>
      <c r="L1" s="3215"/>
      <c r="M1" s="3215"/>
      <c r="N1" s="3215"/>
      <c r="O1" s="3215"/>
      <c r="P1" s="3216"/>
      <c r="Q1" s="4622" t="s">
        <v>4540</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4553</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542" t="s">
        <v>4393</v>
      </c>
      <c r="G12" s="4542"/>
      <c r="H12" s="4542"/>
      <c r="I12" s="4542"/>
      <c r="J12" s="4542"/>
      <c r="K12" s="4542"/>
      <c r="L12" s="4542"/>
      <c r="M12" s="4542"/>
      <c r="N12" s="4542"/>
      <c r="O12" s="1142" t="s">
        <v>3686</v>
      </c>
      <c r="P12" s="1143">
        <f>SUM(P13:P31)</f>
        <v>0</v>
      </c>
      <c r="Q12" s="4621" t="s">
        <v>4440</v>
      </c>
      <c r="R12" s="4621"/>
      <c r="S12" s="4621"/>
      <c r="T12" s="4621"/>
      <c r="U12" s="4621"/>
      <c r="V12" s="1120"/>
    </row>
    <row r="13" spans="1:25" s="35" customFormat="1" ht="10.5" customHeight="1">
      <c r="A13" s="911" t="s">
        <v>1663</v>
      </c>
      <c r="B13" s="908" t="s">
        <v>3306</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3909</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3251</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3307</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3308</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3910</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3912</v>
      </c>
      <c r="B19" s="738" t="s">
        <v>3178</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3923</v>
      </c>
      <c r="B20" s="738" t="s">
        <v>3913</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4140</v>
      </c>
      <c r="B21" s="918" t="s">
        <v>3914</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4532</v>
      </c>
      <c r="B22" s="738" t="s">
        <v>4444</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4534</v>
      </c>
      <c r="B23" s="738" t="s">
        <v>4533</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3281</v>
      </c>
      <c r="B24" s="1797" t="s">
        <v>4450</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3285</v>
      </c>
      <c r="B25" s="738" t="s">
        <v>3309</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3288</v>
      </c>
      <c r="B26" s="738" t="s">
        <v>3310</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3289</v>
      </c>
      <c r="B27" s="738" t="s">
        <v>3311</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3291</v>
      </c>
      <c r="B28" s="914" t="s">
        <v>4531</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4033</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3679</v>
      </c>
      <c r="B30" s="738" t="s">
        <v>4448</v>
      </c>
      <c r="C30" s="853"/>
      <c r="D30" s="912"/>
      <c r="E30" s="1137">
        <f>$O$428</f>
        <v>0</v>
      </c>
      <c r="F30" s="4536">
        <f>$A$430</f>
        <v>0</v>
      </c>
      <c r="G30" s="4537"/>
      <c r="H30" s="4537"/>
      <c r="I30" s="4537"/>
      <c r="J30" s="4537"/>
      <c r="K30" s="4537"/>
      <c r="L30" s="4537"/>
      <c r="M30" s="4537"/>
      <c r="N30" s="4537"/>
      <c r="O30" s="4538"/>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9">
        <f>$A$438</f>
        <v>0</v>
      </c>
      <c r="G31" s="4540"/>
      <c r="H31" s="4540"/>
      <c r="I31" s="4540"/>
      <c r="J31" s="4540"/>
      <c r="K31" s="4540"/>
      <c r="L31" s="4540"/>
      <c r="M31" s="4540"/>
      <c r="N31" s="4540"/>
      <c r="O31" s="4541"/>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7" t="s">
        <v>4026</v>
      </c>
      <c r="H33" s="4597"/>
      <c r="I33" s="4594" t="s">
        <v>4403</v>
      </c>
      <c r="J33" s="4595"/>
      <c r="K33" s="4595"/>
      <c r="L33" s="4596"/>
      <c r="M33" s="4549" t="s">
        <v>4039</v>
      </c>
      <c r="N33" s="4549"/>
      <c r="O33" s="4549"/>
      <c r="P33" s="4549"/>
      <c r="Q33" s="435"/>
      <c r="R33" s="435"/>
      <c r="S33" s="83" t="s">
        <v>4038</v>
      </c>
      <c r="T33" s="435"/>
      <c r="U33" s="435"/>
      <c r="V33" s="435"/>
      <c r="X33" s="4580" t="s">
        <v>4026</v>
      </c>
      <c r="Y33" s="4582"/>
      <c r="Z33" s="4580" t="s">
        <v>4403</v>
      </c>
      <c r="AA33" s="4581"/>
      <c r="AB33" s="4581"/>
      <c r="AC33" s="4582"/>
      <c r="AD33" s="4589" t="s">
        <v>4026</v>
      </c>
      <c r="AE33" s="4590"/>
      <c r="AF33" s="4591" t="s">
        <v>4403</v>
      </c>
      <c r="AG33" s="4589"/>
      <c r="AH33" s="4589"/>
      <c r="AI33" s="4590"/>
    </row>
    <row r="34" spans="1:46" s="115" customFormat="1" ht="11.25" customHeight="1">
      <c r="A34" s="44"/>
      <c r="B34" s="29"/>
      <c r="C34" s="44"/>
      <c r="D34" s="44"/>
      <c r="E34" s="44"/>
      <c r="F34" s="44"/>
      <c r="G34" s="1635">
        <v>0.09</v>
      </c>
      <c r="H34" s="1635">
        <v>0.04</v>
      </c>
      <c r="I34" s="1635">
        <v>0.04</v>
      </c>
      <c r="J34" s="1635" t="s">
        <v>4441</v>
      </c>
      <c r="K34" s="1635" t="s">
        <v>4442</v>
      </c>
      <c r="L34" s="1635" t="s">
        <v>4443</v>
      </c>
      <c r="M34" s="4583" t="e">
        <f>#REF!</f>
        <v>#REF!</v>
      </c>
      <c r="N34" s="4584"/>
      <c r="O34" s="4584"/>
      <c r="P34" s="4585"/>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336" t="s">
        <v>4457</v>
      </c>
      <c r="N40" s="4337"/>
      <c r="O40" s="4337"/>
      <c r="P40" s="4337"/>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336"/>
      <c r="N41" s="4337"/>
      <c r="O41" s="4337"/>
      <c r="P41" s="4337"/>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4452</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3223</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3282</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4444</v>
      </c>
      <c r="C49" s="1642"/>
      <c r="D49" s="1643"/>
      <c r="E49" s="1643"/>
      <c r="F49" s="1643"/>
      <c r="G49" s="1644">
        <v>2</v>
      </c>
      <c r="H49" s="1645">
        <v>2</v>
      </c>
      <c r="I49" s="1644">
        <v>2</v>
      </c>
      <c r="J49" s="1731">
        <v>2</v>
      </c>
      <c r="K49" s="1731">
        <v>2</v>
      </c>
      <c r="L49" s="1645">
        <v>2</v>
      </c>
      <c r="M49" s="1764" t="s">
        <v>4455</v>
      </c>
      <c r="N49" s="1765"/>
      <c r="O49" s="1766"/>
      <c r="P49" s="805"/>
      <c r="R49" s="646" t="s">
        <v>3282</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3283</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3283</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3281</v>
      </c>
      <c r="B51" s="1641" t="s">
        <v>4450</v>
      </c>
      <c r="C51" s="1642"/>
      <c r="D51" s="1643"/>
      <c r="E51" s="1643"/>
      <c r="F51" s="1643"/>
      <c r="G51" s="1644">
        <v>2</v>
      </c>
      <c r="H51" s="1645"/>
      <c r="I51" s="1644"/>
      <c r="J51" s="1731">
        <v>2</v>
      </c>
      <c r="K51" s="1731">
        <v>2</v>
      </c>
      <c r="L51" s="1645">
        <v>2</v>
      </c>
      <c r="Q51" s="142"/>
      <c r="R51" s="646" t="s">
        <v>3281</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4031</v>
      </c>
      <c r="C52" s="1642"/>
      <c r="D52" s="1643"/>
      <c r="E52" s="1643"/>
      <c r="F52" s="1643"/>
      <c r="G52" s="1644">
        <v>2</v>
      </c>
      <c r="H52" s="1645"/>
      <c r="I52" s="1644"/>
      <c r="J52" s="1731">
        <v>2</v>
      </c>
      <c r="K52" s="1731">
        <v>2</v>
      </c>
      <c r="L52" s="1645">
        <v>2</v>
      </c>
      <c r="M52" s="4340" t="s">
        <v>4630</v>
      </c>
      <c r="N52" s="4341"/>
      <c r="O52" s="4341"/>
      <c r="P52" s="4341"/>
      <c r="Q52" s="391"/>
      <c r="R52" s="646" t="s">
        <v>3284</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340"/>
      <c r="N53" s="4341"/>
      <c r="O53" s="4341"/>
      <c r="P53" s="4341"/>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342"/>
      <c r="N54" s="4343"/>
      <c r="O54" s="4343"/>
      <c r="P54" s="4343"/>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550" t="s">
        <v>4606</v>
      </c>
      <c r="N55" s="4551"/>
      <c r="O55" s="4551"/>
      <c r="P55" s="4552"/>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4032</v>
      </c>
      <c r="C56" s="1642"/>
      <c r="D56" s="1643"/>
      <c r="E56" s="1643"/>
      <c r="F56" s="1643"/>
      <c r="G56" s="1644">
        <v>10</v>
      </c>
      <c r="H56" s="1645">
        <v>10</v>
      </c>
      <c r="I56" s="1644">
        <v>10</v>
      </c>
      <c r="J56" s="1731">
        <v>10</v>
      </c>
      <c r="K56" s="1731">
        <v>10</v>
      </c>
      <c r="L56" s="1645">
        <v>10</v>
      </c>
      <c r="M56" s="4553"/>
      <c r="N56" s="4554"/>
      <c r="O56" s="4554"/>
      <c r="P56" s="4555"/>
      <c r="R56" s="646" t="s">
        <v>3290</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4446</v>
      </c>
      <c r="C57" s="1642"/>
      <c r="D57" s="1643"/>
      <c r="E57" s="1643"/>
      <c r="F57" s="1643"/>
      <c r="G57" s="1644">
        <v>3</v>
      </c>
      <c r="H57" s="1645">
        <v>3</v>
      </c>
      <c r="I57" s="1644">
        <v>3</v>
      </c>
      <c r="J57" s="1731">
        <v>3</v>
      </c>
      <c r="K57" s="1731">
        <v>3</v>
      </c>
      <c r="L57" s="1645">
        <v>3</v>
      </c>
      <c r="R57" s="646" t="s">
        <v>3291</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4033</v>
      </c>
      <c r="C58" s="1642"/>
      <c r="D58" s="1643"/>
      <c r="E58" s="1643"/>
      <c r="F58" s="1643"/>
      <c r="G58" s="1644"/>
      <c r="H58" s="1645"/>
      <c r="I58" s="1644">
        <v>6</v>
      </c>
      <c r="J58" s="1731">
        <v>6</v>
      </c>
      <c r="K58" s="1731">
        <v>6</v>
      </c>
      <c r="L58" s="1645">
        <v>6</v>
      </c>
      <c r="M58" s="4336" t="s">
        <v>4041</v>
      </c>
      <c r="N58" s="4337"/>
      <c r="O58" s="4337"/>
      <c r="P58" s="4337"/>
      <c r="Q58" s="142"/>
      <c r="R58" s="646" t="s">
        <v>3292</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4447</v>
      </c>
      <c r="C59" s="1642"/>
      <c r="D59" s="1643"/>
      <c r="E59" s="1643"/>
      <c r="F59" s="1643"/>
      <c r="G59" s="1644"/>
      <c r="H59" s="1645"/>
      <c r="I59" s="1644">
        <v>6</v>
      </c>
      <c r="J59" s="1731">
        <v>6</v>
      </c>
      <c r="K59" s="1731">
        <v>6</v>
      </c>
      <c r="L59" s="1645">
        <v>6</v>
      </c>
      <c r="M59" s="4338"/>
      <c r="N59" s="4339"/>
      <c r="O59" s="4339"/>
      <c r="P59" s="4339"/>
      <c r="Q59" s="142"/>
      <c r="R59" s="646" t="s">
        <v>3293</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7" t="s">
        <v>4607</v>
      </c>
      <c r="N60" s="4628"/>
      <c r="O60" s="4628"/>
      <c r="P60" s="4629"/>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30"/>
      <c r="N61" s="4631"/>
      <c r="O61" s="4631"/>
      <c r="P61" s="4632"/>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4" t="s">
        <v>3771</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1" t="s">
        <v>3974</v>
      </c>
      <c r="B74" s="4301"/>
      <c r="C74" s="4301"/>
      <c r="D74" s="4301"/>
      <c r="E74" s="4301"/>
      <c r="F74" s="1117" t="s">
        <v>3303</v>
      </c>
      <c r="G74" s="4528" t="s">
        <v>3976</v>
      </c>
      <c r="H74" s="4528"/>
      <c r="I74" s="4528"/>
      <c r="J74" s="1117" t="s">
        <v>3303</v>
      </c>
      <c r="K74" s="4532" t="s">
        <v>3975</v>
      </c>
      <c r="L74" s="4532"/>
      <c r="M74" s="4532"/>
      <c r="N74" s="4532"/>
      <c r="O74" s="4526" t="s">
        <v>3303</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2569</v>
      </c>
      <c r="K78" s="4370">
        <v>3</v>
      </c>
      <c r="L78" s="4371"/>
      <c r="M78" s="4371"/>
      <c r="N78" s="4371"/>
      <c r="O78" s="4346" t="s">
        <v>2569</v>
      </c>
      <c r="P78" s="4347"/>
      <c r="Q78" s="4344" t="s">
        <v>3685</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2569</v>
      </c>
      <c r="P79" s="4347"/>
      <c r="Q79" s="4344"/>
      <c r="R79" s="4345"/>
      <c r="S79" s="1120"/>
      <c r="T79" s="1120"/>
    </row>
    <row r="80" spans="1:20" s="35" customFormat="1" ht="24.75" customHeight="1">
      <c r="A80" s="4367">
        <v>5</v>
      </c>
      <c r="B80" s="4368"/>
      <c r="C80" s="4368"/>
      <c r="D80" s="4368"/>
      <c r="E80" s="4369"/>
      <c r="F80" s="668"/>
      <c r="G80" s="4367">
        <v>5</v>
      </c>
      <c r="H80" s="4368"/>
      <c r="I80" s="4369"/>
      <c r="J80" s="921" t="s">
        <v>3060</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3061</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3062</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3063</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2" t="s">
        <v>3688</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20"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420"/>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3" t="s">
        <v>3692</v>
      </c>
      <c r="I97" s="4634"/>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2461</v>
      </c>
      <c r="I106" s="4605" t="s">
        <v>3915</v>
      </c>
      <c r="J106" s="4606"/>
      <c r="K106" s="4606"/>
      <c r="L106" s="4607"/>
      <c r="M106" s="457">
        <v>20</v>
      </c>
      <c r="N106" s="150" t="s">
        <v>1836</v>
      </c>
      <c r="O106" s="1675"/>
      <c r="P106" s="1676"/>
      <c r="Q106" s="1153"/>
      <c r="R106" s="782" t="s">
        <v>3928</v>
      </c>
    </row>
    <row r="107" spans="1:18" s="70" customFormat="1" ht="12.75" customHeight="1">
      <c r="A107" s="107" t="s">
        <v>1838</v>
      </c>
      <c r="B107" s="141" t="s">
        <v>3196</v>
      </c>
      <c r="D107" s="867"/>
      <c r="F107" s="1179"/>
      <c r="H107" s="646" t="s">
        <v>3250</v>
      </c>
      <c r="I107" s="4608"/>
      <c r="J107" s="4515"/>
      <c r="K107" s="4515"/>
      <c r="L107" s="4609"/>
      <c r="M107" s="878" t="s">
        <v>1163</v>
      </c>
      <c r="N107" s="48" t="s">
        <v>1838</v>
      </c>
      <c r="O107" s="1677"/>
      <c r="P107" s="1678"/>
      <c r="R107" s="782" t="s">
        <v>3928</v>
      </c>
    </row>
    <row r="108" spans="1:18" s="36" customFormat="1" ht="12.75" customHeight="1" thickBot="1">
      <c r="A108" s="35"/>
      <c r="B108" s="924" t="s">
        <v>3157</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557" t="s">
        <v>3131</v>
      </c>
      <c r="G123" s="4557"/>
      <c r="H123" s="4557"/>
      <c r="I123" s="4557"/>
      <c r="J123" s="4557" t="s">
        <v>3132</v>
      </c>
      <c r="K123" s="4557"/>
      <c r="L123" s="4557"/>
      <c r="M123" s="4557"/>
      <c r="N123" s="48"/>
      <c r="O123" s="4558" t="s">
        <v>3761</v>
      </c>
      <c r="P123" s="4559"/>
      <c r="Q123" s="86"/>
      <c r="R123" s="866"/>
      <c r="S123" s="866"/>
      <c r="T123" s="866"/>
      <c r="U123" s="866"/>
    </row>
    <row r="124" spans="1:21" s="36" customFormat="1" ht="12" customHeight="1">
      <c r="B124" s="1749"/>
      <c r="C124" s="1123" t="s">
        <v>4466</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4048</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4574</v>
      </c>
      <c r="B126" s="4435"/>
      <c r="C126" s="1123" t="s">
        <v>4465</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3278</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6" t="s">
        <v>4572</v>
      </c>
      <c r="D133" s="4556"/>
      <c r="E133" s="4556"/>
      <c r="F133" s="4556"/>
      <c r="G133" s="4556"/>
      <c r="H133" s="4556"/>
      <c r="I133" s="4556"/>
      <c r="J133" s="4556"/>
      <c r="K133" s="4556"/>
      <c r="L133" s="4556"/>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4" t="s">
        <v>4569</v>
      </c>
      <c r="K134" s="4565"/>
      <c r="L134" s="4566"/>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3" t="s">
        <v>4567</v>
      </c>
      <c r="I135" s="3303"/>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3155</v>
      </c>
      <c r="C138" s="502"/>
      <c r="D138" s="502"/>
      <c r="F138" s="1812" t="s">
        <v>4564</v>
      </c>
      <c r="J138" s="4598" t="s">
        <v>3152</v>
      </c>
      <c r="K138" s="4599"/>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3" t="s">
        <v>4568</v>
      </c>
      <c r="I139" s="3303"/>
      <c r="J139" s="4414" t="s">
        <v>4584</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4461</v>
      </c>
      <c r="K140" s="4378"/>
      <c r="L140" s="4379"/>
      <c r="M140" s="70"/>
      <c r="O140" s="4391"/>
      <c r="P140" s="4394"/>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4570</v>
      </c>
      <c r="D143" s="3473"/>
      <c r="E143" s="3473"/>
      <c r="F143" s="3473"/>
      <c r="G143" s="3473"/>
      <c r="H143" s="3473"/>
      <c r="I143" s="4389"/>
      <c r="J143" s="4377" t="s">
        <v>4462</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9" t="s">
        <v>4722</v>
      </c>
      <c r="K154" s="4410"/>
      <c r="L154" s="4410"/>
      <c r="M154" s="4411"/>
      <c r="N154"/>
      <c r="O154"/>
      <c r="P154"/>
    </row>
    <row r="155" spans="1:19" ht="12.75" customHeight="1">
      <c r="B155" s="429"/>
      <c r="C155" s="429"/>
      <c r="D155" s="429"/>
      <c r="F155" s="4166" t="s">
        <v>4523</v>
      </c>
      <c r="G155" s="4166"/>
      <c r="H155" s="4166" t="s">
        <v>4167</v>
      </c>
      <c r="I155" s="4166"/>
      <c r="J155" s="4395" t="s">
        <v>4524</v>
      </c>
      <c r="K155" s="4396"/>
      <c r="L155" s="4398" t="s">
        <v>4721</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4525</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7" t="s">
        <v>4575</v>
      </c>
      <c r="D173" s="4107"/>
      <c r="E173" s="4107"/>
      <c r="F173" s="4107"/>
      <c r="G173" s="4107"/>
      <c r="H173" s="4107"/>
      <c r="I173" s="4107"/>
      <c r="J173" s="4107"/>
      <c r="K173" s="4107"/>
      <c r="L173" s="128"/>
      <c r="M173" s="4430" t="s">
        <v>3992</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3203</v>
      </c>
      <c r="N174" s="4418"/>
      <c r="O174" s="4418"/>
      <c r="P174" s="4419"/>
      <c r="S174" s="1540"/>
      <c r="T174" s="1540"/>
      <c r="U174" s="1540"/>
    </row>
    <row r="175" spans="1:26" s="26" customFormat="1" ht="12.75" customHeight="1">
      <c r="B175" s="49" t="s">
        <v>2235</v>
      </c>
      <c r="C175" s="29" t="s">
        <v>3832</v>
      </c>
      <c r="D175" s="29"/>
      <c r="E175" s="29"/>
      <c r="F175" s="29"/>
      <c r="G175" s="29"/>
      <c r="H175" s="29"/>
      <c r="L175" s="49" t="s">
        <v>2235</v>
      </c>
      <c r="M175" s="4414" t="s">
        <v>3203</v>
      </c>
      <c r="N175" s="4415"/>
      <c r="O175" s="4415"/>
      <c r="P175" s="4416"/>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4" t="s">
        <v>3203</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7" t="s">
        <v>3203</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7" t="s">
        <v>4076</v>
      </c>
      <c r="D180" s="4107"/>
      <c r="E180" s="4107"/>
      <c r="F180" s="4107"/>
      <c r="G180" s="4107"/>
      <c r="H180" s="4107"/>
      <c r="I180" s="4107"/>
      <c r="J180" s="4107"/>
      <c r="K180" s="4107"/>
      <c r="L180" s="4107"/>
      <c r="M180" s="1758">
        <v>1</v>
      </c>
      <c r="N180" s="128" t="s">
        <v>3946</v>
      </c>
      <c r="O180" s="1548"/>
      <c r="P180" s="1552"/>
      <c r="Q180" s="1153" t="str">
        <f>IF(OR($O180=$M180,$O180=0,$O180=""),"","*CHECK!*")</f>
        <v/>
      </c>
      <c r="R180" s="782" t="s">
        <v>3928</v>
      </c>
    </row>
    <row r="181" spans="1:26" ht="36.75" customHeight="1">
      <c r="A181" s="395"/>
      <c r="B181" s="117" t="s">
        <v>2235</v>
      </c>
      <c r="C181" s="4107" t="s">
        <v>4077</v>
      </c>
      <c r="D181" s="4107"/>
      <c r="E181" s="4107"/>
      <c r="F181" s="4107"/>
      <c r="G181" s="4107"/>
      <c r="H181" s="4107"/>
      <c r="I181" s="4107"/>
      <c r="J181" s="4107"/>
      <c r="K181" s="4107"/>
      <c r="L181" s="4107"/>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7" t="s">
        <v>4105</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4109</v>
      </c>
      <c r="D196" s="4107"/>
      <c r="E196" s="4107"/>
      <c r="F196" s="4107"/>
      <c r="G196" s="4107"/>
      <c r="H196" s="4107"/>
      <c r="I196" s="4107"/>
      <c r="J196" s="4107"/>
      <c r="K196" s="4107"/>
      <c r="L196" s="4107"/>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7" t="s">
        <v>4110</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4151</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4" t="s">
        <v>3120</v>
      </c>
      <c r="K208" s="4445"/>
      <c r="L208" s="4446"/>
      <c r="M208" s="4447"/>
      <c r="N208" s="53"/>
      <c r="R208" s="86"/>
      <c r="S208" s="70"/>
    </row>
    <row r="209" spans="1:27" ht="12.75" customHeight="1">
      <c r="C209" s="673" t="s">
        <v>4153</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3" t="s">
        <v>4116</v>
      </c>
      <c r="F212" s="4623"/>
      <c r="G212" s="4623"/>
      <c r="H212" s="4623"/>
      <c r="I212" s="1144" t="s">
        <v>4143</v>
      </c>
      <c r="J212" s="4623" t="s">
        <v>4116</v>
      </c>
      <c r="K212" s="4623"/>
      <c r="L212" s="4623"/>
      <c r="M212" s="4623"/>
      <c r="N212"/>
      <c r="O212"/>
      <c r="P212"/>
    </row>
    <row r="213" spans="1:27" ht="13.5" customHeight="1">
      <c r="B213" s="399"/>
      <c r="C213" s="29" t="s">
        <v>4114</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4115</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4112</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4113</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4.9"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1" t="e">
        <f>#REF!</f>
        <v>#REF!</v>
      </c>
      <c r="L226" s="4502"/>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2"/>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3225</v>
      </c>
      <c r="G244" s="1555"/>
      <c r="H244" s="48" t="s">
        <v>573</v>
      </c>
      <c r="I244" s="4619"/>
      <c r="J244" s="4619"/>
      <c r="L244" s="1574" t="s">
        <v>4157</v>
      </c>
      <c r="M244" s="4620"/>
      <c r="N244" s="4620"/>
    </row>
    <row r="245" spans="1:27" s="32" customFormat="1" ht="11.25" customHeight="1">
      <c r="A245" s="306"/>
      <c r="B245" s="349" t="s">
        <v>1841</v>
      </c>
      <c r="C245" s="29" t="s">
        <v>4156</v>
      </c>
      <c r="E245" s="33" t="s">
        <v>3225</v>
      </c>
      <c r="G245" s="1556"/>
      <c r="H245" s="48" t="s">
        <v>573</v>
      </c>
      <c r="I245" s="4493"/>
      <c r="J245" s="4493"/>
      <c r="L245" s="1574" t="s">
        <v>4157</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4511</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4512</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4128</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4586</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4588</v>
      </c>
      <c r="G289" s="147"/>
      <c r="I289" s="4461" t="s">
        <v>4589</v>
      </c>
      <c r="J289" s="4462"/>
      <c r="K289" s="4463"/>
      <c r="L289" s="4464"/>
      <c r="M289" s="455"/>
      <c r="O289" s="4465" t="s">
        <v>3065</v>
      </c>
      <c r="P289" s="4465" t="s">
        <v>3066</v>
      </c>
      <c r="Q289" s="86"/>
      <c r="R289" s="1542"/>
      <c r="S289" s="1542"/>
      <c r="T289" s="1542"/>
      <c r="U289" s="1542"/>
      <c r="V289" s="1542"/>
      <c r="W289" s="36"/>
      <c r="X289" s="36"/>
    </row>
    <row r="290" spans="1:24" s="36" customFormat="1" ht="11.25" customHeight="1">
      <c r="A290" s="120"/>
      <c r="B290" s="29" t="s">
        <v>4477</v>
      </c>
      <c r="D290" s="34"/>
      <c r="H290" s="141"/>
      <c r="M290" s="119"/>
      <c r="N290" s="48"/>
      <c r="O290" s="4466"/>
      <c r="P290" s="4466"/>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7" t="s">
        <v>4483</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4484</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7" t="s">
        <v>4486</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4487</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4490</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6"/>
      <c r="J311" s="4617"/>
      <c r="K311" s="4617"/>
      <c r="L311" s="461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8" t="s">
        <v>3961</v>
      </c>
      <c r="J335" s="3429"/>
      <c r="K335" s="3429"/>
      <c r="L335" s="3430"/>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0.9"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3288</v>
      </c>
      <c r="B342" s="83" t="s">
        <v>3259</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3191</v>
      </c>
      <c r="L345" s="4491"/>
      <c r="M345" s="4491"/>
      <c r="N345" s="49" t="s">
        <v>2235</v>
      </c>
      <c r="O345" s="299"/>
      <c r="P345" s="419"/>
      <c r="R345" s="4487"/>
      <c r="S345" s="4487"/>
    </row>
    <row r="346" spans="1:20" s="79" customFormat="1" ht="12.75" customHeight="1">
      <c r="B346" s="49" t="s">
        <v>2236</v>
      </c>
      <c r="C346" s="29" t="s">
        <v>3190</v>
      </c>
      <c r="L346" s="4491"/>
      <c r="M346" s="4491"/>
      <c r="N346" s="49" t="s">
        <v>2236</v>
      </c>
      <c r="O346" s="299"/>
      <c r="P346" s="419"/>
      <c r="R346" s="4487"/>
      <c r="S346" s="4487"/>
    </row>
    <row r="347" spans="1:20" s="79" customFormat="1" ht="33.75" customHeight="1">
      <c r="B347" s="117" t="s">
        <v>2237</v>
      </c>
      <c r="C347" s="4107" t="s">
        <v>4492</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4494</v>
      </c>
      <c r="C352" s="29" t="s">
        <v>1386</v>
      </c>
      <c r="I352" s="49" t="s">
        <v>2234</v>
      </c>
      <c r="J352" s="4575"/>
      <c r="K352" s="4576"/>
      <c r="L352" s="49" t="s">
        <v>2234</v>
      </c>
      <c r="M352" s="4441"/>
      <c r="N352" s="4442"/>
      <c r="O352" s="4442"/>
      <c r="P352" s="4443"/>
      <c r="R352" s="307"/>
    </row>
    <row r="353" spans="1:18" ht="12.75" customHeight="1">
      <c r="A353" s="152"/>
      <c r="B353" s="117" t="s">
        <v>2235</v>
      </c>
      <c r="C353" s="29" t="s">
        <v>3071</v>
      </c>
      <c r="I353" s="117" t="s">
        <v>2235</v>
      </c>
      <c r="J353" s="4436"/>
      <c r="K353" s="4437"/>
      <c r="L353" s="117" t="s">
        <v>2235</v>
      </c>
      <c r="M353" s="4438"/>
      <c r="N353" s="4439"/>
      <c r="O353" s="4439"/>
      <c r="P353" s="4440"/>
      <c r="R353" s="307"/>
    </row>
    <row r="354" spans="1:18" ht="12.75" customHeight="1">
      <c r="B354" s="49" t="s">
        <v>2236</v>
      </c>
      <c r="C354" s="29" t="s">
        <v>3829</v>
      </c>
      <c r="I354" s="49" t="s">
        <v>2236</v>
      </c>
      <c r="J354" s="4436"/>
      <c r="K354" s="4437"/>
      <c r="L354" s="49" t="s">
        <v>2236</v>
      </c>
      <c r="M354" s="4438"/>
      <c r="N354" s="4439"/>
      <c r="O354" s="4439"/>
      <c r="P354" s="4440"/>
      <c r="R354" s="307"/>
    </row>
    <row r="355" spans="1:18" ht="12.75" customHeight="1">
      <c r="A355" s="152"/>
      <c r="B355" s="49" t="s">
        <v>2237</v>
      </c>
      <c r="C355" s="29" t="s">
        <v>2987</v>
      </c>
      <c r="I355" s="49" t="s">
        <v>2237</v>
      </c>
      <c r="J355" s="4436"/>
      <c r="K355" s="4437"/>
      <c r="L355" s="49" t="s">
        <v>2237</v>
      </c>
      <c r="M355" s="4438"/>
      <c r="N355" s="4439"/>
      <c r="O355" s="4439"/>
      <c r="P355" s="4440"/>
      <c r="R355" s="307"/>
    </row>
    <row r="356" spans="1:18" s="36" customFormat="1" ht="12.75" customHeight="1">
      <c r="A356" s="151"/>
      <c r="B356" s="117" t="s">
        <v>2238</v>
      </c>
      <c r="C356" s="29" t="s">
        <v>2466</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4130</v>
      </c>
      <c r="I358" s="49" t="s">
        <v>2255</v>
      </c>
      <c r="J358" s="4436"/>
      <c r="K358" s="4437"/>
      <c r="L358" s="49" t="s">
        <v>2255</v>
      </c>
      <c r="M358" s="1513"/>
      <c r="N358" s="1514"/>
      <c r="O358" s="1514"/>
      <c r="P358" s="1515"/>
      <c r="R358" s="307"/>
    </row>
    <row r="359" spans="1:18" ht="12.75" customHeight="1">
      <c r="A359" s="152"/>
      <c r="B359" s="48" t="s">
        <v>2256</v>
      </c>
      <c r="C359" s="29" t="s">
        <v>3070</v>
      </c>
      <c r="I359" s="48" t="s">
        <v>2256</v>
      </c>
      <c r="J359" s="4436"/>
      <c r="K359" s="4437"/>
      <c r="L359" s="48" t="s">
        <v>2256</v>
      </c>
      <c r="M359" s="4438"/>
      <c r="N359" s="4439"/>
      <c r="O359" s="4439"/>
      <c r="P359" s="4440"/>
      <c r="R359" s="307"/>
    </row>
    <row r="360" spans="1:18" ht="12.75" customHeight="1">
      <c r="B360" s="48" t="s">
        <v>2257</v>
      </c>
      <c r="C360" s="29" t="s">
        <v>4495</v>
      </c>
      <c r="I360" s="48" t="s">
        <v>2257</v>
      </c>
      <c r="J360" s="4436"/>
      <c r="K360" s="4437"/>
      <c r="L360" s="48" t="s">
        <v>2257</v>
      </c>
      <c r="M360" s="4438"/>
      <c r="N360" s="4439"/>
      <c r="O360" s="4439"/>
      <c r="P360" s="4440"/>
      <c r="R360" s="307"/>
    </row>
    <row r="361" spans="1:18" ht="12.75" customHeight="1">
      <c r="B361" s="48" t="s">
        <v>3072</v>
      </c>
      <c r="C361" s="29" t="s">
        <v>3702</v>
      </c>
      <c r="I361" s="48" t="s">
        <v>3072</v>
      </c>
      <c r="J361" s="4436"/>
      <c r="K361" s="4437"/>
      <c r="L361" s="48" t="s">
        <v>3072</v>
      </c>
      <c r="M361" s="4438"/>
      <c r="N361" s="4439"/>
      <c r="O361" s="4439"/>
      <c r="P361" s="4440"/>
      <c r="R361" s="307"/>
    </row>
    <row r="362" spans="1:18" ht="12.75" customHeight="1" thickBot="1">
      <c r="B362" s="48" t="s">
        <v>4131</v>
      </c>
      <c r="C362" s="29" t="s">
        <v>4132</v>
      </c>
      <c r="I362" s="48" t="s">
        <v>4131</v>
      </c>
      <c r="J362" s="4436"/>
      <c r="K362" s="4437"/>
      <c r="L362" s="48" t="s">
        <v>4131</v>
      </c>
      <c r="M362" s="4477"/>
      <c r="N362" s="4478"/>
      <c r="O362" s="4478"/>
      <c r="P362" s="4479"/>
      <c r="R362" s="307"/>
    </row>
    <row r="363" spans="1:18" ht="12.75" customHeight="1" thickBot="1">
      <c r="B363" s="906" t="s">
        <v>4496</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3" t="e">
        <f>#REF!</f>
        <v>#REF!</v>
      </c>
      <c r="K365" s="4454"/>
      <c r="L365" s="429"/>
      <c r="M365" s="392"/>
      <c r="N365" s="392"/>
      <c r="O365" s="868"/>
      <c r="P365" s="392"/>
    </row>
    <row r="366" spans="1:18" ht="13.5" customHeight="1">
      <c r="C366" s="230"/>
      <c r="D366" s="230"/>
      <c r="E366" s="230"/>
      <c r="F366" s="348" t="s">
        <v>4134</v>
      </c>
      <c r="J366" s="4451" t="e">
        <f>IF(J365=0,0,J363/J365)</f>
        <v>#REF!</v>
      </c>
      <c r="K366" s="4452"/>
      <c r="M366" s="4577" t="e">
        <f>IF($J365=0,0,$M363/$J365)</f>
        <v>#REF!</v>
      </c>
      <c r="N366" s="4578"/>
      <c r="O366" s="4578"/>
      <c r="P366" s="4579"/>
    </row>
    <row r="367" spans="1:18" s="36" customFormat="1" ht="12.75" customHeight="1">
      <c r="C367" s="230"/>
      <c r="D367" s="230"/>
      <c r="E367" s="230"/>
      <c r="F367" s="44" t="s">
        <v>4135</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7" t="s">
        <v>4497</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3157</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8" t="s">
        <v>3762</v>
      </c>
      <c r="E380" s="3429"/>
      <c r="F380" s="3429"/>
      <c r="G380" s="3429"/>
      <c r="H380" s="3429"/>
      <c r="I380" s="3430"/>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4" t="s">
        <v>4498</v>
      </c>
      <c r="C383" s="4264"/>
      <c r="D383" s="4264"/>
      <c r="E383" s="4264"/>
      <c r="F383" s="4264"/>
      <c r="G383" s="4264"/>
      <c r="H383" s="4264"/>
      <c r="I383" s="4264"/>
      <c r="J383" s="4264"/>
      <c r="K383" s="4264"/>
      <c r="L383" s="4264"/>
      <c r="M383" s="4476" t="s">
        <v>3763</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2510</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2511</v>
      </c>
      <c r="N386" s="332"/>
      <c r="O386" s="4474" t="e">
        <f>IF(O385=0,0,O384/O385)</f>
        <v>#REF!</v>
      </c>
      <c r="P386" s="4475"/>
      <c r="Q386" s="147"/>
    </row>
    <row r="387" spans="1:19" s="36" customFormat="1" ht="105.75" customHeight="1">
      <c r="A387" s="410"/>
      <c r="B387" s="4253" t="s">
        <v>3327</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4638</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4593</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1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3168</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0" t="s">
        <v>1405</v>
      </c>
      <c r="H466" s="4570"/>
      <c r="I466" s="4570"/>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3177</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3249</v>
      </c>
      <c r="K484" s="68"/>
      <c r="L484" s="502"/>
      <c r="M484" s="68"/>
      <c r="N484" s="869"/>
      <c r="O484" s="2038"/>
      <c r="P484" s="2038"/>
      <c r="Q484" s="68"/>
    </row>
    <row r="485" spans="1:17" s="115" customFormat="1">
      <c r="C485" s="502"/>
      <c r="D485" s="68"/>
      <c r="E485" s="68"/>
      <c r="F485" s="68"/>
      <c r="G485" s="1423" t="s">
        <v>920</v>
      </c>
      <c r="H485" s="869">
        <v>2020</v>
      </c>
      <c r="I485" s="869" t="s">
        <v>3935</v>
      </c>
      <c r="J485" s="68" t="s">
        <v>3244</v>
      </c>
      <c r="K485" s="68"/>
      <c r="L485" s="502"/>
      <c r="M485" s="68"/>
      <c r="N485" s="869"/>
      <c r="O485" s="2038"/>
      <c r="P485" s="2038"/>
      <c r="Q485" s="68"/>
    </row>
    <row r="486" spans="1:17" s="115" customFormat="1">
      <c r="C486" s="502"/>
      <c r="D486" s="68"/>
      <c r="E486" s="68"/>
      <c r="F486" s="68"/>
      <c r="G486" s="1423" t="s">
        <v>531</v>
      </c>
      <c r="H486" s="869">
        <v>2020</v>
      </c>
      <c r="I486" s="869" t="s">
        <v>3935</v>
      </c>
      <c r="J486" s="68" t="s">
        <v>3170</v>
      </c>
      <c r="K486" s="68"/>
      <c r="L486" s="502"/>
      <c r="M486" s="68"/>
      <c r="N486" s="869"/>
      <c r="O486" s="2038"/>
      <c r="P486" s="2038"/>
      <c r="Q486" s="68"/>
    </row>
    <row r="487" spans="1:17" s="115" customFormat="1">
      <c r="C487" s="502"/>
      <c r="D487" s="68"/>
      <c r="E487" s="68"/>
      <c r="F487" s="68"/>
      <c r="G487" s="1423" t="s">
        <v>808</v>
      </c>
      <c r="H487" s="869" t="s">
        <v>3936</v>
      </c>
      <c r="I487" s="1758" t="s">
        <v>2446</v>
      </c>
      <c r="J487" s="68" t="s">
        <v>3240</v>
      </c>
      <c r="K487" s="68"/>
      <c r="L487" s="502"/>
      <c r="M487" s="68"/>
      <c r="N487" s="869"/>
      <c r="O487" s="2038"/>
      <c r="P487" s="2038"/>
      <c r="Q487" s="68"/>
    </row>
    <row r="488" spans="1:17" s="115" customFormat="1">
      <c r="C488" s="502"/>
      <c r="D488" s="68"/>
      <c r="E488" s="68"/>
      <c r="F488" s="68"/>
      <c r="G488" s="1423" t="s">
        <v>2936</v>
      </c>
      <c r="H488" s="869">
        <v>2019</v>
      </c>
      <c r="I488" s="869" t="s">
        <v>3935</v>
      </c>
      <c r="J488" s="68" t="s">
        <v>3171</v>
      </c>
      <c r="K488" s="68"/>
      <c r="L488" s="502"/>
      <c r="M488" s="68"/>
      <c r="N488" s="869"/>
      <c r="O488" s="2038"/>
      <c r="P488" s="2038"/>
      <c r="Q488" s="68"/>
    </row>
    <row r="489" spans="1:17" s="115" customFormat="1">
      <c r="C489" s="68"/>
      <c r="D489" s="68"/>
      <c r="E489" s="68"/>
      <c r="F489" s="68"/>
      <c r="G489" s="1423" t="s">
        <v>763</v>
      </c>
      <c r="H489" s="869">
        <v>2019</v>
      </c>
      <c r="I489" s="869" t="s">
        <v>3935</v>
      </c>
      <c r="J489" s="68" t="s">
        <v>3241</v>
      </c>
      <c r="K489" s="68"/>
      <c r="L489" s="502"/>
      <c r="M489" s="68"/>
      <c r="N489" s="869"/>
      <c r="O489" s="2038"/>
      <c r="P489" s="2038"/>
      <c r="Q489" s="68"/>
    </row>
    <row r="490" spans="1:17" s="115" customFormat="1">
      <c r="C490" s="68"/>
      <c r="D490" s="68"/>
      <c r="E490" s="68"/>
      <c r="F490" s="68"/>
      <c r="G490" s="1423" t="s">
        <v>172</v>
      </c>
      <c r="H490" s="869">
        <v>2019</v>
      </c>
      <c r="I490" s="869" t="s">
        <v>3935</v>
      </c>
      <c r="J490" s="68" t="s">
        <v>3172</v>
      </c>
      <c r="K490" s="68"/>
      <c r="L490" s="68"/>
      <c r="M490" s="68"/>
      <c r="N490" s="869"/>
      <c r="O490" s="2038"/>
      <c r="P490" s="2038"/>
      <c r="Q490" s="68"/>
    </row>
    <row r="491" spans="1:17" s="115" customFormat="1">
      <c r="C491" s="68"/>
      <c r="D491" s="68"/>
      <c r="E491" s="68"/>
      <c r="F491" s="68"/>
      <c r="G491" s="1423" t="s">
        <v>3258</v>
      </c>
      <c r="H491" s="869" t="s">
        <v>3936</v>
      </c>
      <c r="I491" s="1758" t="s">
        <v>2446</v>
      </c>
      <c r="J491" s="68" t="s">
        <v>3242</v>
      </c>
      <c r="K491" s="68"/>
      <c r="L491" s="502"/>
      <c r="M491" s="68"/>
      <c r="N491" s="869"/>
      <c r="O491" s="2038"/>
      <c r="P491" s="2038"/>
      <c r="Q491" s="68"/>
    </row>
    <row r="492" spans="1:17" s="115" customFormat="1">
      <c r="C492" s="68"/>
      <c r="D492" s="68"/>
      <c r="E492" s="68"/>
      <c r="F492" s="68"/>
      <c r="G492" s="1423" t="s">
        <v>506</v>
      </c>
      <c r="H492" s="869">
        <v>2020</v>
      </c>
      <c r="I492" s="869" t="s">
        <v>3935</v>
      </c>
      <c r="J492" s="68" t="s">
        <v>3245</v>
      </c>
      <c r="K492" s="68"/>
      <c r="L492" s="502"/>
      <c r="M492" s="68"/>
      <c r="N492" s="869"/>
      <c r="O492" s="2038"/>
      <c r="P492" s="2038"/>
      <c r="Q492" s="68"/>
    </row>
    <row r="493" spans="1:17" s="115" customFormat="1">
      <c r="C493" s="68"/>
      <c r="D493" s="68"/>
      <c r="E493" s="68"/>
      <c r="F493" s="68"/>
      <c r="G493" s="1423" t="s">
        <v>375</v>
      </c>
      <c r="H493" s="869">
        <v>2020</v>
      </c>
      <c r="I493" s="869" t="s">
        <v>3935</v>
      </c>
      <c r="J493" s="68" t="s">
        <v>3248</v>
      </c>
      <c r="K493" s="68"/>
      <c r="L493" s="68"/>
      <c r="M493" s="68"/>
      <c r="N493" s="869"/>
      <c r="O493" s="2038"/>
      <c r="P493" s="2038"/>
      <c r="Q493" s="68"/>
    </row>
    <row r="494" spans="1:17" s="115" customFormat="1">
      <c r="C494" s="68"/>
      <c r="D494" s="685"/>
      <c r="E494" s="68"/>
      <c r="F494" s="68"/>
      <c r="G494" s="1423" t="s">
        <v>1347</v>
      </c>
      <c r="H494" s="869" t="s">
        <v>3936</v>
      </c>
      <c r="I494" s="1758" t="s">
        <v>2446</v>
      </c>
      <c r="J494" s="68" t="s">
        <v>3173</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3174</v>
      </c>
      <c r="K495" s="68"/>
      <c r="L495" s="502"/>
      <c r="M495" s="68"/>
      <c r="N495" s="869"/>
      <c r="O495" s="2038"/>
      <c r="P495" s="2038"/>
      <c r="Q495" s="68"/>
    </row>
    <row r="496" spans="1:17" s="115" customFormat="1">
      <c r="C496" s="68"/>
      <c r="D496" s="68"/>
      <c r="E496" s="68"/>
      <c r="F496" s="68"/>
      <c r="G496" s="1423" t="s">
        <v>1964</v>
      </c>
      <c r="H496" s="869">
        <v>2020</v>
      </c>
      <c r="I496" s="869" t="s">
        <v>3935</v>
      </c>
      <c r="J496" s="68" t="s">
        <v>3243</v>
      </c>
      <c r="K496" s="68"/>
      <c r="L496" s="502"/>
      <c r="M496" s="68"/>
      <c r="N496" s="869"/>
      <c r="O496" s="2038"/>
      <c r="P496" s="2038"/>
      <c r="Q496" s="68"/>
    </row>
    <row r="497" spans="3:17" s="115" customFormat="1">
      <c r="C497" s="68"/>
      <c r="D497" s="68"/>
      <c r="E497" s="68"/>
      <c r="F497" s="68"/>
      <c r="G497" s="1423" t="s">
        <v>1350</v>
      </c>
      <c r="H497" s="869">
        <v>2019</v>
      </c>
      <c r="I497" s="869" t="s">
        <v>3935</v>
      </c>
      <c r="J497" s="68" t="s">
        <v>3246</v>
      </c>
      <c r="K497" s="68"/>
      <c r="L497" s="68"/>
      <c r="M497" s="68"/>
      <c r="N497" s="869"/>
      <c r="O497" s="2038"/>
      <c r="P497" s="2038"/>
      <c r="Q497" s="68"/>
    </row>
    <row r="498" spans="3:17" s="115" customFormat="1">
      <c r="C498" s="68"/>
      <c r="D498" s="68"/>
      <c r="E498" s="68"/>
      <c r="F498" s="68"/>
      <c r="G498" s="1423" t="s">
        <v>235</v>
      </c>
      <c r="H498" s="869">
        <v>2019</v>
      </c>
      <c r="I498" s="869" t="s">
        <v>3935</v>
      </c>
      <c r="J498" s="68" t="s">
        <v>3247</v>
      </c>
      <c r="K498" s="68"/>
      <c r="L498" s="502"/>
      <c r="M498" s="68"/>
      <c r="N498" s="869"/>
      <c r="O498" s="2038"/>
      <c r="P498" s="2038"/>
      <c r="Q498" s="68"/>
    </row>
    <row r="499" spans="3:17" s="115" customFormat="1">
      <c r="C499" s="68"/>
      <c r="D499" s="68"/>
      <c r="E499" s="68"/>
      <c r="F499" s="68"/>
      <c r="G499" s="1423" t="s">
        <v>977</v>
      </c>
      <c r="H499" s="869">
        <v>2020</v>
      </c>
      <c r="I499" s="869" t="s">
        <v>3935</v>
      </c>
      <c r="J499" s="68" t="s">
        <v>3175</v>
      </c>
      <c r="K499" s="68"/>
      <c r="L499" s="502"/>
      <c r="M499" s="68"/>
      <c r="N499" s="869"/>
      <c r="O499" s="2038"/>
      <c r="P499" s="2038"/>
      <c r="Q499" s="68"/>
    </row>
    <row r="500" spans="3:17" s="115" customFormat="1">
      <c r="C500" s="685"/>
      <c r="D500" s="68"/>
      <c r="E500" s="68"/>
      <c r="F500" s="68"/>
      <c r="G500" s="1423" t="s">
        <v>2091</v>
      </c>
      <c r="H500" s="869">
        <v>2020</v>
      </c>
      <c r="I500" s="869" t="s">
        <v>3935</v>
      </c>
      <c r="J500" s="68" t="s">
        <v>3176</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4" zoomScale="115" zoomScaleNormal="115" workbookViewId="0">
      <selection activeCell="T22" sqref="T2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9" t="str">
        <f>CONCATENATE("Part I-Project Identification"," - ",$O$7," ",$F$26,", ",$F$27,", ",J27," County")</f>
        <v>Part I-Project Identification - 2024-0 Flats at Lake View II, Warner Robins, Houston County</v>
      </c>
      <c r="B2" s="2910"/>
      <c r="C2" s="2910"/>
      <c r="D2" s="2910"/>
      <c r="E2" s="2910"/>
      <c r="F2" s="2910"/>
      <c r="G2" s="2910"/>
      <c r="H2" s="2910"/>
      <c r="I2" s="2910"/>
      <c r="J2" s="2910"/>
      <c r="K2" s="2910"/>
      <c r="L2" s="2910"/>
      <c r="M2" s="2910"/>
      <c r="N2" s="2910"/>
      <c r="O2" s="2910"/>
      <c r="P2" s="2911"/>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2" t="s">
        <v>4639</v>
      </c>
      <c r="B4" s="2912"/>
      <c r="C4" s="2912"/>
      <c r="D4" s="2912"/>
      <c r="E4" s="2912"/>
      <c r="F4" s="2912"/>
      <c r="G4" s="2912"/>
      <c r="H4" s="2912"/>
      <c r="I4" s="2912"/>
      <c r="J4" s="2912"/>
      <c r="K4" s="2912"/>
      <c r="L4" s="2912"/>
      <c r="M4" s="2912"/>
      <c r="N4" s="2912"/>
      <c r="O4" s="2912"/>
      <c r="P4" s="2912"/>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3" t="s">
        <v>5176</v>
      </c>
      <c r="B6" s="2913"/>
      <c r="C6" s="2913"/>
      <c r="D6" s="2913"/>
      <c r="F6" s="242"/>
      <c r="G6" s="224" t="s">
        <v>3700</v>
      </c>
      <c r="L6" s="374"/>
      <c r="P6" s="1698" t="s">
        <v>3206</v>
      </c>
      <c r="Z6" s="1618">
        <v>6</v>
      </c>
      <c r="AA6" s="1729">
        <v>5</v>
      </c>
    </row>
    <row r="7" spans="1:28" s="144" customFormat="1" ht="12" customHeight="1" thickBot="1">
      <c r="A7" s="2913"/>
      <c r="B7" s="2913"/>
      <c r="C7" s="2913"/>
      <c r="D7" s="2913"/>
      <c r="E7" s="983"/>
      <c r="F7" s="244"/>
      <c r="G7" s="224" t="s">
        <v>3985</v>
      </c>
      <c r="H7" s="248"/>
      <c r="I7" s="248"/>
      <c r="J7" s="248"/>
      <c r="O7" s="2914" t="s">
        <v>4752</v>
      </c>
      <c r="P7" s="2915"/>
      <c r="Q7" s="2916" t="s">
        <v>4530</v>
      </c>
      <c r="R7" s="2916"/>
      <c r="S7" s="2917"/>
      <c r="Z7" s="1618">
        <v>7</v>
      </c>
      <c r="AA7" s="1729">
        <v>6</v>
      </c>
    </row>
    <row r="8" spans="1:28" s="144" customFormat="1" ht="12" customHeight="1">
      <c r="A8" s="2913"/>
      <c r="B8" s="2913"/>
      <c r="C8" s="2913"/>
      <c r="D8" s="2913"/>
      <c r="E8" s="983"/>
      <c r="F8" s="407"/>
      <c r="G8" s="147" t="s">
        <v>2892</v>
      </c>
      <c r="H8" s="248"/>
      <c r="I8" s="248"/>
      <c r="J8" s="248"/>
      <c r="Q8" s="2918"/>
      <c r="R8" s="2919"/>
      <c r="S8" s="2920"/>
      <c r="Z8" s="1618">
        <v>8</v>
      </c>
      <c r="AA8" s="1729">
        <v>7</v>
      </c>
    </row>
    <row r="9" spans="1:28" s="144" customFormat="1" ht="6" customHeight="1">
      <c r="A9" s="374"/>
      <c r="E9" s="248"/>
      <c r="H9" s="248"/>
      <c r="I9" s="248"/>
      <c r="M9" s="248"/>
      <c r="Q9" s="2918"/>
      <c r="R9" s="2919"/>
      <c r="S9" s="2920"/>
      <c r="Z9" s="1618">
        <v>9</v>
      </c>
      <c r="AA9" s="1729">
        <v>8</v>
      </c>
    </row>
    <row r="10" spans="1:28" s="144" customFormat="1" ht="13.35" customHeight="1">
      <c r="A10" s="243" t="s">
        <v>572</v>
      </c>
      <c r="B10" s="243" t="s">
        <v>2186</v>
      </c>
      <c r="D10" s="145"/>
      <c r="E10" s="245"/>
      <c r="F10" s="246" t="s">
        <v>3183</v>
      </c>
      <c r="I10" s="2924">
        <f>'Part III-A-Uses of Funds'!$J$191</f>
        <v>1350000</v>
      </c>
      <c r="J10" s="2925"/>
      <c r="L10" s="144" t="s">
        <v>3184</v>
      </c>
      <c r="O10" s="2926">
        <f>'Part II-Sources of Funds'!$I$6</f>
        <v>0</v>
      </c>
      <c r="P10" s="2927"/>
      <c r="Q10" s="2918"/>
      <c r="R10" s="2919"/>
      <c r="S10" s="2920"/>
      <c r="Z10" s="1618">
        <v>10</v>
      </c>
      <c r="AA10" s="1729">
        <v>9</v>
      </c>
    </row>
    <row r="11" spans="1:28" s="144" customFormat="1" ht="6" customHeight="1">
      <c r="A11" s="243"/>
      <c r="B11" s="243"/>
      <c r="D11" s="145"/>
      <c r="E11" s="245"/>
      <c r="F11" s="245"/>
      <c r="I11" s="222"/>
      <c r="N11" s="247"/>
      <c r="Q11" s="2918"/>
      <c r="R11" s="2919"/>
      <c r="S11" s="2920"/>
      <c r="Z11" s="1618">
        <v>11</v>
      </c>
      <c r="AA11" s="1729">
        <v>10</v>
      </c>
    </row>
    <row r="12" spans="1:28" s="144" customFormat="1" ht="13.5">
      <c r="A12" s="222" t="s">
        <v>688</v>
      </c>
      <c r="B12" s="243" t="s">
        <v>1886</v>
      </c>
      <c r="F12" s="2928" t="s">
        <v>5167</v>
      </c>
      <c r="G12" s="2929"/>
      <c r="H12" s="2930"/>
      <c r="I12" s="1699" t="s">
        <v>4413</v>
      </c>
      <c r="J12" s="1457" t="s">
        <v>4826</v>
      </c>
      <c r="K12" s="243"/>
      <c r="L12" s="248"/>
      <c r="O12" s="2931" t="s">
        <v>5169</v>
      </c>
      <c r="P12" s="2932"/>
      <c r="Q12" s="2918"/>
      <c r="R12" s="2919"/>
      <c r="S12" s="2920"/>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c r="Q13" s="2918"/>
      <c r="R13" s="2919"/>
      <c r="S13" s="2920"/>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8"/>
      <c r="R14" s="2919"/>
      <c r="S14" s="2920"/>
      <c r="Z14" s="1618">
        <v>14</v>
      </c>
      <c r="AA14" s="1729">
        <v>13</v>
      </c>
    </row>
    <row r="15" spans="1:28" s="144" customFormat="1">
      <c r="A15" s="222" t="s">
        <v>690</v>
      </c>
      <c r="B15" s="243" t="s">
        <v>3553</v>
      </c>
      <c r="D15" s="246"/>
      <c r="E15" s="245"/>
      <c r="G15" s="245"/>
      <c r="H15" s="245"/>
      <c r="I15" s="738" t="s">
        <v>3211</v>
      </c>
      <c r="L15" s="247"/>
      <c r="Q15" s="2918"/>
      <c r="R15" s="2919"/>
      <c r="S15" s="2920"/>
      <c r="Z15" s="1618">
        <v>15</v>
      </c>
      <c r="AA15" s="1729">
        <v>14</v>
      </c>
    </row>
    <row r="16" spans="1:28" s="144" customFormat="1">
      <c r="B16" s="144" t="s">
        <v>3212</v>
      </c>
      <c r="F16" s="2933" t="s">
        <v>5129</v>
      </c>
      <c r="G16" s="2934"/>
      <c r="H16" s="2935"/>
      <c r="I16" s="2044" t="s">
        <v>1665</v>
      </c>
      <c r="J16" s="2943" t="s">
        <v>5130</v>
      </c>
      <c r="K16" s="2938"/>
      <c r="L16" s="2939"/>
      <c r="M16" s="1808" t="s">
        <v>1834</v>
      </c>
      <c r="N16" s="2933" t="s">
        <v>5131</v>
      </c>
      <c r="O16" s="2934"/>
      <c r="P16" s="2935"/>
      <c r="Q16" s="2918"/>
      <c r="R16" s="2919"/>
      <c r="S16" s="2920"/>
      <c r="Z16" s="1618">
        <v>16</v>
      </c>
      <c r="AA16" s="1729">
        <v>15</v>
      </c>
    </row>
    <row r="17" spans="1:27" s="144" customFormat="1" ht="12.75" customHeight="1">
      <c r="B17" s="246" t="s">
        <v>1597</v>
      </c>
      <c r="F17" s="2944">
        <v>4178831632</v>
      </c>
      <c r="G17" s="2945"/>
      <c r="H17" s="2946"/>
      <c r="I17" s="2045" t="s">
        <v>1596</v>
      </c>
      <c r="J17" s="810"/>
      <c r="M17" s="246" t="s">
        <v>1598</v>
      </c>
      <c r="N17" s="2944"/>
      <c r="O17" s="2945"/>
      <c r="P17" s="2946"/>
      <c r="Q17" s="2918"/>
      <c r="R17" s="2919"/>
      <c r="S17" s="2920"/>
      <c r="V17" s="738"/>
      <c r="W17" s="738"/>
      <c r="X17" s="738"/>
      <c r="Z17" s="1618">
        <v>17</v>
      </c>
      <c r="AA17" s="1729">
        <v>16</v>
      </c>
    </row>
    <row r="18" spans="1:27" s="144" customFormat="1">
      <c r="B18" s="246" t="s">
        <v>1837</v>
      </c>
      <c r="F18" s="2936" t="s">
        <v>5132</v>
      </c>
      <c r="G18" s="2937"/>
      <c r="H18" s="2937"/>
      <c r="I18" s="2938"/>
      <c r="J18" s="2937"/>
      <c r="K18" s="2938"/>
      <c r="L18" s="2939"/>
      <c r="M18" s="246" t="s">
        <v>1833</v>
      </c>
      <c r="N18" s="2940"/>
      <c r="O18" s="2941"/>
      <c r="P18" s="2942"/>
      <c r="Q18" s="2918"/>
      <c r="R18" s="2919"/>
      <c r="S18" s="2920"/>
      <c r="U18" s="738"/>
      <c r="V18" s="738"/>
      <c r="W18" s="738"/>
      <c r="X18" s="738"/>
      <c r="Z18" s="1618">
        <v>18</v>
      </c>
      <c r="AA18" s="1729">
        <v>17</v>
      </c>
    </row>
    <row r="19" spans="1:27" s="144" customFormat="1">
      <c r="A19" s="374"/>
      <c r="B19" s="243" t="s">
        <v>3552</v>
      </c>
      <c r="C19" s="145"/>
      <c r="H19" s="248"/>
      <c r="J19" s="145"/>
      <c r="P19" s="248"/>
      <c r="Q19" s="2918"/>
      <c r="R19" s="2919"/>
      <c r="S19" s="2920"/>
      <c r="Z19" s="1618">
        <v>19</v>
      </c>
      <c r="AA19" s="1729">
        <v>18</v>
      </c>
    </row>
    <row r="20" spans="1:27" s="144" customFormat="1">
      <c r="B20" s="144" t="s">
        <v>3212</v>
      </c>
      <c r="F20" s="2933" t="s">
        <v>5129</v>
      </c>
      <c r="G20" s="2934"/>
      <c r="H20" s="2935"/>
      <c r="I20" s="2044" t="s">
        <v>1665</v>
      </c>
      <c r="J20" s="2943" t="s">
        <v>5133</v>
      </c>
      <c r="K20" s="2938"/>
      <c r="L20" s="2939"/>
      <c r="M20" s="1808" t="s">
        <v>1834</v>
      </c>
      <c r="N20" s="2933" t="s">
        <v>5134</v>
      </c>
      <c r="O20" s="2934"/>
      <c r="P20" s="2935"/>
      <c r="Q20" s="2918"/>
      <c r="R20" s="2919"/>
      <c r="S20" s="2920"/>
      <c r="Z20" s="1618">
        <v>20</v>
      </c>
      <c r="AA20" s="1729">
        <v>19</v>
      </c>
    </row>
    <row r="21" spans="1:27" s="144" customFormat="1">
      <c r="B21" s="246" t="s">
        <v>1597</v>
      </c>
      <c r="F21" s="2944"/>
      <c r="G21" s="2945"/>
      <c r="H21" s="2946"/>
      <c r="I21" s="2045" t="s">
        <v>1596</v>
      </c>
      <c r="J21" s="810"/>
      <c r="M21" s="246" t="s">
        <v>1598</v>
      </c>
      <c r="N21" s="2944"/>
      <c r="O21" s="2945"/>
      <c r="P21" s="2946"/>
      <c r="Q21" s="2918"/>
      <c r="R21" s="2919"/>
      <c r="S21" s="2920"/>
      <c r="U21" s="230"/>
      <c r="V21" s="230"/>
      <c r="W21" s="230"/>
      <c r="X21" s="230"/>
      <c r="Z21" s="1618">
        <v>21</v>
      </c>
      <c r="AA21" s="1729">
        <v>20</v>
      </c>
    </row>
    <row r="22" spans="1:27" s="144" customFormat="1">
      <c r="B22" s="246" t="s">
        <v>1837</v>
      </c>
      <c r="F22" s="2936" t="s">
        <v>5135</v>
      </c>
      <c r="G22" s="2937"/>
      <c r="H22" s="2937"/>
      <c r="I22" s="2938"/>
      <c r="J22" s="2937"/>
      <c r="K22" s="2938"/>
      <c r="L22" s="2939"/>
      <c r="M22" s="246" t="s">
        <v>1833</v>
      </c>
      <c r="N22" s="2940">
        <v>4178831632</v>
      </c>
      <c r="O22" s="2941"/>
      <c r="P22" s="2942"/>
      <c r="Q22" s="2918"/>
      <c r="R22" s="2919"/>
      <c r="S22" s="2920"/>
      <c r="Z22" s="1618">
        <v>22</v>
      </c>
      <c r="AA22" s="1729">
        <v>21</v>
      </c>
    </row>
    <row r="23" spans="1:27" s="144" customFormat="1">
      <c r="I23" s="145"/>
      <c r="J23" s="145"/>
      <c r="K23" s="145"/>
      <c r="L23" s="145"/>
      <c r="M23" s="145"/>
      <c r="N23" s="145"/>
      <c r="O23" s="145"/>
      <c r="P23" s="145"/>
      <c r="Q23" s="2918"/>
      <c r="R23" s="2919"/>
      <c r="S23" s="2920"/>
      <c r="Z23" s="1618">
        <v>23</v>
      </c>
      <c r="AA23" s="1729">
        <v>22</v>
      </c>
    </row>
    <row r="24" spans="1:27" s="144" customFormat="1">
      <c r="A24" s="222" t="s">
        <v>1661</v>
      </c>
      <c r="B24" s="243" t="s">
        <v>1379</v>
      </c>
      <c r="D24" s="145"/>
      <c r="E24" s="245"/>
      <c r="F24" s="245"/>
      <c r="G24" s="246"/>
      <c r="H24" s="245"/>
      <c r="I24" s="245"/>
      <c r="J24" s="245"/>
      <c r="Q24" s="2918"/>
      <c r="R24" s="2919"/>
      <c r="S24" s="2920"/>
      <c r="Z24" s="1618">
        <v>24</v>
      </c>
      <c r="AA24" s="1729">
        <v>23</v>
      </c>
    </row>
    <row r="25" spans="1:27" s="144" customFormat="1" ht="1.5" customHeight="1">
      <c r="A25" s="222"/>
      <c r="B25" s="243"/>
      <c r="D25" s="145"/>
      <c r="E25" s="245"/>
      <c r="F25" s="245"/>
      <c r="G25" s="246"/>
      <c r="H25" s="245"/>
      <c r="I25" s="245"/>
      <c r="J25" s="245"/>
      <c r="L25" s="247"/>
      <c r="M25" s="247"/>
      <c r="Q25" s="2918"/>
      <c r="R25" s="2919"/>
      <c r="S25" s="2920"/>
      <c r="Z25" s="1618">
        <v>25</v>
      </c>
      <c r="AA25" s="1729">
        <v>24</v>
      </c>
    </row>
    <row r="26" spans="1:27" s="144" customFormat="1" ht="13.35" customHeight="1">
      <c r="A26" s="243"/>
      <c r="B26" s="144" t="s">
        <v>573</v>
      </c>
      <c r="D26" s="243"/>
      <c r="F26" s="2943" t="s">
        <v>5172</v>
      </c>
      <c r="G26" s="2948"/>
      <c r="H26" s="2948"/>
      <c r="I26" s="2938"/>
      <c r="J26" s="2948"/>
      <c r="K26" s="2949"/>
      <c r="M26" s="246" t="s">
        <v>424</v>
      </c>
      <c r="P26" s="1809" t="s">
        <v>2644</v>
      </c>
      <c r="Q26" s="2918"/>
      <c r="R26" s="2919"/>
      <c r="S26" s="2920"/>
      <c r="Z26" s="1618">
        <v>26</v>
      </c>
      <c r="AA26" s="1729">
        <v>25</v>
      </c>
    </row>
    <row r="27" spans="1:27" s="144" customFormat="1">
      <c r="A27" s="374"/>
      <c r="B27" s="144" t="s">
        <v>574</v>
      </c>
      <c r="F27" s="2950" t="s">
        <v>1588</v>
      </c>
      <c r="G27" s="2951"/>
      <c r="H27" s="2952"/>
      <c r="I27" s="257" t="s">
        <v>575</v>
      </c>
      <c r="J27" s="2953" t="str">
        <f>IF(F27="","",VLOOKUP(F27,'DCA Underwriting Assumptions'!$T$166:$U$795,2,FALSE))</f>
        <v>Houston</v>
      </c>
      <c r="K27" s="2954"/>
      <c r="M27" s="246" t="s">
        <v>425</v>
      </c>
      <c r="P27" s="1866" t="s">
        <v>2644</v>
      </c>
      <c r="Q27" s="2918"/>
      <c r="R27" s="2919"/>
      <c r="S27" s="2920"/>
      <c r="U27" s="374"/>
      <c r="Z27" s="1618">
        <v>27</v>
      </c>
      <c r="AA27" s="1729">
        <v>26</v>
      </c>
    </row>
    <row r="28" spans="1:27" s="144" customFormat="1" ht="13.5">
      <c r="A28" s="374"/>
      <c r="B28" s="144" t="s">
        <v>3782</v>
      </c>
      <c r="C28" s="251"/>
      <c r="D28" s="252"/>
      <c r="E28" s="252"/>
      <c r="F28" s="2950" t="s">
        <v>5136</v>
      </c>
      <c r="G28" s="2955"/>
      <c r="H28" s="2956"/>
      <c r="I28" s="248"/>
      <c r="J28" s="391" t="s">
        <v>4618</v>
      </c>
      <c r="K28" s="248"/>
      <c r="M28" s="246" t="s">
        <v>4561</v>
      </c>
      <c r="O28" s="2957">
        <v>4.75</v>
      </c>
      <c r="P28" s="2958"/>
      <c r="Q28" s="2918"/>
      <c r="R28" s="2919"/>
      <c r="S28" s="2920"/>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3" t="str">
        <f>IF($F$27="","",VLOOKUP($J$27,'DCA Underwriting Assumptions'!$G$166:$L$325,3,FALSE))</f>
        <v>Warner Robins</v>
      </c>
      <c r="P29" s="2954"/>
      <c r="Q29" s="2918"/>
      <c r="R29" s="2919"/>
      <c r="S29" s="2920"/>
      <c r="Z29" s="1618">
        <v>29</v>
      </c>
      <c r="AA29" s="1729">
        <v>28</v>
      </c>
    </row>
    <row r="30" spans="1:27" s="144" customFormat="1">
      <c r="A30" s="374"/>
      <c r="B30" s="374"/>
      <c r="C30" s="251"/>
      <c r="D30" s="252"/>
      <c r="E30" s="252"/>
      <c r="F30" s="248"/>
      <c r="G30" s="248"/>
      <c r="H30" s="248"/>
      <c r="I30" s="248"/>
      <c r="J30" s="252"/>
      <c r="K30" s="248"/>
      <c r="L30" s="248"/>
      <c r="P30" s="248"/>
      <c r="Q30" s="2918"/>
      <c r="R30" s="2919"/>
      <c r="S30" s="2920"/>
      <c r="Z30" s="1618">
        <v>30</v>
      </c>
      <c r="AA30" s="1729">
        <v>29</v>
      </c>
    </row>
    <row r="31" spans="1:27" s="144" customFormat="1">
      <c r="A31" s="222" t="s">
        <v>1663</v>
      </c>
      <c r="B31" s="222" t="s">
        <v>4548</v>
      </c>
      <c r="D31" s="253"/>
      <c r="E31" s="253"/>
      <c r="F31" s="253"/>
      <c r="G31" s="248"/>
      <c r="H31" s="248"/>
      <c r="I31" s="248"/>
      <c r="J31" s="252"/>
      <c r="K31" s="248"/>
      <c r="L31" s="248"/>
      <c r="P31" s="1847"/>
      <c r="Q31" s="2918"/>
      <c r="R31" s="2919"/>
      <c r="S31" s="2920"/>
      <c r="Z31" s="1618">
        <v>31</v>
      </c>
      <c r="AA31" s="1729">
        <v>30</v>
      </c>
    </row>
    <row r="32" spans="1:27" s="144" customFormat="1" ht="2.25" customHeight="1">
      <c r="A32" s="374"/>
      <c r="B32" s="374"/>
      <c r="M32" s="246"/>
      <c r="N32" s="1155"/>
      <c r="O32" s="1155"/>
      <c r="P32" s="1466"/>
      <c r="Q32" s="2918"/>
      <c r="R32" s="2919"/>
      <c r="S32" s="2920"/>
      <c r="Z32" s="1618">
        <v>32</v>
      </c>
      <c r="AA32" s="1729">
        <v>31</v>
      </c>
    </row>
    <row r="33" spans="1:27" s="144" customFormat="1">
      <c r="A33" s="374"/>
      <c r="B33" s="222" t="s">
        <v>4547</v>
      </c>
      <c r="D33" s="804"/>
      <c r="E33" s="804"/>
      <c r="F33" s="804"/>
      <c r="G33" s="804"/>
      <c r="H33" s="248"/>
      <c r="J33" s="145"/>
      <c r="K33" s="252"/>
      <c r="P33" s="248"/>
      <c r="Q33" s="2918"/>
      <c r="R33" s="2919"/>
      <c r="S33" s="2920"/>
      <c r="Z33" s="1618">
        <v>33</v>
      </c>
      <c r="AA33" s="1729">
        <v>32</v>
      </c>
    </row>
    <row r="34" spans="1:27" s="144" customFormat="1" ht="1.5" customHeight="1">
      <c r="A34" s="374"/>
      <c r="B34" s="374"/>
      <c r="C34" s="222"/>
      <c r="D34" s="804"/>
      <c r="E34" s="804"/>
      <c r="F34" s="804"/>
      <c r="G34" s="804"/>
      <c r="H34" s="248"/>
      <c r="J34" s="145"/>
      <c r="K34" s="252"/>
      <c r="P34" s="248"/>
      <c r="Q34" s="2918"/>
      <c r="R34" s="2919"/>
      <c r="S34" s="2920"/>
      <c r="Z34" s="1618">
        <v>34</v>
      </c>
      <c r="AA34" s="1729">
        <v>33</v>
      </c>
    </row>
    <row r="35" spans="1:27" s="144" customFormat="1" ht="13.5" hidden="1" customHeight="1">
      <c r="A35" s="374"/>
      <c r="B35" s="374"/>
      <c r="C35" s="144" t="s">
        <v>1206</v>
      </c>
      <c r="D35" s="258"/>
      <c r="I35" s="1189"/>
      <c r="K35" s="243"/>
      <c r="L35" s="144" t="s">
        <v>3001</v>
      </c>
      <c r="P35" s="1802"/>
      <c r="Q35" s="2918"/>
      <c r="R35" s="2919"/>
      <c r="S35" s="2920"/>
      <c r="Z35" s="1618">
        <v>35</v>
      </c>
      <c r="AA35" s="1729">
        <v>34</v>
      </c>
    </row>
    <row r="36" spans="1:27" s="144" customFormat="1" ht="12.75" hidden="1" customHeight="1">
      <c r="A36" s="374"/>
      <c r="B36" s="243"/>
      <c r="C36" s="144" t="s">
        <v>3808</v>
      </c>
      <c r="I36" s="1796"/>
      <c r="J36" s="257" t="s">
        <v>2476</v>
      </c>
      <c r="O36" s="2959"/>
      <c r="P36" s="2960"/>
      <c r="Q36" s="2918"/>
      <c r="R36" s="2919"/>
      <c r="S36" s="2920"/>
      <c r="Z36" s="1618">
        <v>36</v>
      </c>
      <c r="AA36" s="1729">
        <v>35</v>
      </c>
    </row>
    <row r="37" spans="1:27" s="144" customFormat="1" ht="12.75" customHeight="1">
      <c r="A37" s="374"/>
      <c r="B37" s="243"/>
      <c r="C37" s="144" t="s">
        <v>1671</v>
      </c>
      <c r="I37" s="1189" t="s">
        <v>2644</v>
      </c>
      <c r="J37" s="257" t="s">
        <v>2476</v>
      </c>
      <c r="O37" s="2961"/>
      <c r="P37" s="2962"/>
      <c r="Q37" s="2918"/>
      <c r="R37" s="2919"/>
      <c r="S37" s="2920"/>
      <c r="Z37" s="1618">
        <v>37</v>
      </c>
      <c r="AA37" s="1729">
        <v>36</v>
      </c>
    </row>
    <row r="38" spans="1:27" s="144" customFormat="1" ht="12.6" customHeight="1">
      <c r="A38" s="374"/>
      <c r="B38" s="374"/>
      <c r="C38" s="144" t="s">
        <v>2567</v>
      </c>
      <c r="I38" s="849" t="s">
        <v>2644</v>
      </c>
      <c r="J38" s="257" t="s">
        <v>2476</v>
      </c>
      <c r="O38" s="2963"/>
      <c r="P38" s="2964"/>
      <c r="Q38" s="2921"/>
      <c r="R38" s="2922"/>
      <c r="S38" s="2923"/>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5" t="s">
        <v>5173</v>
      </c>
      <c r="B43" s="2966"/>
      <c r="C43" s="2966"/>
      <c r="D43" s="2966"/>
      <c r="E43" s="2966"/>
      <c r="F43" s="2966"/>
      <c r="G43" s="2966"/>
      <c r="H43" s="2966"/>
      <c r="I43" s="2966"/>
      <c r="J43" s="2966"/>
      <c r="K43" s="2966"/>
      <c r="L43" s="2967"/>
      <c r="M43" s="2968"/>
      <c r="N43" s="2969"/>
      <c r="O43" s="2969"/>
      <c r="P43" s="2970"/>
      <c r="Q43" s="2947"/>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fodR970upl8GGQAp1P4LDd07ydYomm5VUrR02ehVIJLp4eEyzQlKXWAK5dXJsb7Ty/UKGu4P1rz7/CUAnzxioA==" saltValue="LmL6OpfWQV6DQN7JT8wZ9Q==" spinCount="100000" sheet="1" objects="1" scenarios="1" formatRows="0"/>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1" t="s">
        <v>2574</v>
      </c>
      <c r="B1" s="4641"/>
      <c r="C1" s="4641"/>
      <c r="D1" s="4641"/>
      <c r="E1" s="4641"/>
      <c r="F1" s="4641"/>
      <c r="G1" s="4641"/>
      <c r="H1" s="4641"/>
      <c r="I1" s="4641"/>
      <c r="J1" s="4641"/>
    </row>
    <row r="2" spans="1:16" ht="15.75">
      <c r="A2" s="4641" t="str">
        <f>'Sensitivity Analysis'!C8</f>
        <v>Flats at Lake View II</v>
      </c>
      <c r="B2" s="4641"/>
      <c r="C2" s="4641"/>
      <c r="D2" s="4641"/>
      <c r="E2" s="4641"/>
      <c r="F2" s="4641"/>
      <c r="G2" s="4641"/>
      <c r="H2" s="4641"/>
      <c r="I2" s="4641"/>
      <c r="J2" s="4641"/>
    </row>
    <row r="3" spans="1:16" ht="15.75">
      <c r="A3" s="4641" t="str">
        <f>'Subsidy Layering Memo'!F14</f>
        <v>Warner Robins, Houston</v>
      </c>
      <c r="B3" s="4641"/>
      <c r="C3" s="4641"/>
      <c r="D3" s="4641"/>
      <c r="E3" s="4641"/>
      <c r="F3" s="4641"/>
      <c r="G3" s="4641"/>
      <c r="H3" s="4641"/>
      <c r="I3" s="4641"/>
      <c r="J3" s="4641"/>
    </row>
    <row r="4" spans="1:16" ht="15.75">
      <c r="A4" s="4642" t="s">
        <v>2575</v>
      </c>
      <c r="B4" s="4641"/>
      <c r="C4" s="4641"/>
      <c r="D4" s="4641"/>
      <c r="E4" s="4641"/>
      <c r="F4" s="4641"/>
      <c r="G4" s="4641"/>
      <c r="H4" s="4641"/>
      <c r="I4" s="4641"/>
      <c r="J4" s="4641"/>
    </row>
    <row r="5" spans="1:16" ht="5.25" customHeight="1"/>
    <row r="6" spans="1:16" ht="5.25" customHeight="1"/>
    <row r="7" spans="1:16" ht="15.75">
      <c r="A7" s="4643" t="s">
        <v>2576</v>
      </c>
      <c r="B7" s="4643"/>
      <c r="C7" s="4644"/>
      <c r="M7" s="4635"/>
      <c r="N7" s="4635"/>
      <c r="O7" s="4635"/>
      <c r="P7" s="4635"/>
    </row>
    <row r="8" spans="1:16" ht="57" customHeight="1">
      <c r="A8" s="4636" t="s">
        <v>4052</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Warner Robins, Houston County, Georgia, with the development of 72 units set aside for &lt;&lt; Select PROPOSED Tenancy &gt;&gt;.</v>
      </c>
      <c r="B9" s="4636"/>
      <c r="C9" s="4636"/>
      <c r="D9" s="4636"/>
      <c r="E9" s="4636"/>
      <c r="F9" s="4636"/>
      <c r="G9" s="4636"/>
      <c r="H9" s="4636"/>
      <c r="I9" s="4636"/>
      <c r="J9" s="4636"/>
      <c r="K9" s="505"/>
    </row>
    <row r="10" spans="1:16" ht="15.75">
      <c r="A10" s="506" t="s">
        <v>2577</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2578</v>
      </c>
      <c r="B14" s="507"/>
    </row>
    <row r="15" spans="1:16">
      <c r="A15" s="504" t="s">
        <v>2579</v>
      </c>
      <c r="D15" s="1002" t="s">
        <v>2580</v>
      </c>
    </row>
    <row r="16" spans="1:16">
      <c r="A16" s="504" t="s">
        <v>2581</v>
      </c>
      <c r="D16" s="1195">
        <f>'Sensitivity Analysis'!C25</f>
        <v>2850000</v>
      </c>
    </row>
    <row r="17" spans="1:11">
      <c r="A17" s="508" t="s">
        <v>2582</v>
      </c>
      <c r="D17" s="1196">
        <f>'Sensitivity Analysis'!C13</f>
        <v>72</v>
      </c>
    </row>
    <row r="18" spans="1:11" ht="14.25" customHeight="1"/>
    <row r="19" spans="1:11" ht="15.75">
      <c r="A19" s="506" t="s">
        <v>2583</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12027285 via the syndication of the 2024 Federal LIHTC allocation of 1350000 per annum. will make a capital contribution totaling 7546500 via the syndication of the 2024 State LIHTC allocation of 1350000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1.45 (0.9 Federal tax credit and 0.55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4053</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Flats at Lake View II</v>
      </c>
    </row>
    <row r="13" spans="1:10" ht="15">
      <c r="A13" s="514"/>
      <c r="D13" s="513" t="s">
        <v>2597</v>
      </c>
      <c r="F13" s="1003" t="str">
        <f>'Sensitivity Analysis'!E8</f>
        <v>2024-0</v>
      </c>
    </row>
    <row r="14" spans="1:10" ht="15">
      <c r="A14" s="514"/>
      <c r="D14" s="513" t="s">
        <v>2598</v>
      </c>
      <c r="F14" s="1003" t="str">
        <f>'Sensitivity Analysis'!H8</f>
        <v>Warner Robins, Houston</v>
      </c>
    </row>
    <row r="15" spans="1:10" ht="15">
      <c r="A15" s="514"/>
      <c r="D15" s="513" t="s">
        <v>2881</v>
      </c>
      <c r="F15" s="4645">
        <f>'Sensitivity Analysis'!$C$25</f>
        <v>2850000</v>
      </c>
      <c r="G15" s="4645"/>
      <c r="H15" s="4645"/>
    </row>
    <row r="16" spans="1:10">
      <c r="D16" s="516" t="s">
        <v>4948</v>
      </c>
      <c r="F16" s="2390">
        <f>'Sensitivity Analysis'!C13</f>
        <v>72</v>
      </c>
      <c r="G16" s="2388">
        <f>'Sensitivity Analysis'!E13</f>
        <v>63</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4055</v>
      </c>
    </row>
    <row r="22" spans="1:18" ht="111.75" customHeight="1">
      <c r="A22" s="4651" t="s">
        <v>3014</v>
      </c>
      <c r="B22" s="4651"/>
      <c r="C22" s="4651"/>
      <c r="D22" s="4651"/>
      <c r="E22" s="4651"/>
      <c r="F22" s="4651"/>
      <c r="G22" s="4651"/>
      <c r="H22" s="4651"/>
      <c r="I22" s="4651"/>
      <c r="J22" s="4651"/>
      <c r="K22" s="4653" t="s">
        <v>3774</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4054</v>
      </c>
    </row>
    <row r="27" spans="1:18" ht="14.25" customHeight="1">
      <c r="A27" s="4659" t="s">
        <v>4056</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4057</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2599</v>
      </c>
    </row>
    <row r="47" spans="1:10" ht="135" customHeight="1">
      <c r="A47" s="4640" t="s">
        <v>4949</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2600</v>
      </c>
    </row>
    <row r="50" spans="1:12" ht="33" customHeight="1">
      <c r="A50" s="4636" t="s">
        <v>3364</v>
      </c>
      <c r="B50" s="4638"/>
      <c r="C50" s="4638"/>
      <c r="D50" s="4638"/>
      <c r="E50" s="4638"/>
      <c r="F50" s="4638"/>
      <c r="G50" s="4638"/>
      <c r="H50" s="4638"/>
      <c r="I50" s="4638"/>
      <c r="J50" s="4636"/>
    </row>
    <row r="51" spans="1:12" ht="3" customHeight="1"/>
    <row r="52" spans="1:12" ht="72.75" customHeight="1">
      <c r="A52" s="4636" t="s">
        <v>3365</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3366</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3367</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2889</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3368</v>
      </c>
      <c r="B60" s="4636"/>
      <c r="C60" s="4636"/>
      <c r="D60" s="4636"/>
      <c r="E60" s="4636"/>
      <c r="F60" s="4636"/>
      <c r="G60" s="4636"/>
      <c r="H60" s="4636"/>
      <c r="I60" s="4636"/>
      <c r="J60" s="4636"/>
    </row>
    <row r="61" spans="1:12" ht="3" customHeight="1"/>
    <row r="62" spans="1:12" ht="73.5" customHeight="1">
      <c r="A62" s="4636" t="s">
        <v>3369</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51" t="s">
        <v>2602</v>
      </c>
      <c r="B65" s="4651"/>
      <c r="C65" s="4651"/>
      <c r="D65" s="4651"/>
      <c r="E65" s="4651"/>
      <c r="F65" s="4651"/>
      <c r="G65" s="4651"/>
      <c r="H65" s="4651"/>
      <c r="I65" s="4651"/>
      <c r="J65" s="4651"/>
      <c r="L65" s="521">
        <f>'Closing term sheet'!C135</f>
        <v>910118.03447663411</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12027285 via the syndication of the 2024 Federal LIHTC allocation of 1350000 per annum. will make a capital contribution totaling 7546500 via the syndication of the 2024 State LIHTC allocation of 1350000 per annum.</v>
      </c>
      <c r="B67" s="4636"/>
      <c r="C67" s="4636"/>
      <c r="D67" s="4636"/>
      <c r="E67" s="4636"/>
      <c r="F67" s="4636"/>
      <c r="G67" s="4636"/>
      <c r="H67" s="4636"/>
      <c r="I67" s="4636"/>
      <c r="J67" s="526"/>
      <c r="L67" s="2391">
        <f>'Part II-Sources of Funds'!I51</f>
        <v>12027285</v>
      </c>
      <c r="M67" s="2392">
        <f>'Part III-A-Uses of Funds'!$J$191</f>
        <v>1350000</v>
      </c>
      <c r="N67" s="2393">
        <f>'Part III-A-Uses of Funds'!N182</f>
        <v>0.9</v>
      </c>
      <c r="O67" s="2391">
        <f>'Part II-Sources of Funds'!I52</f>
        <v>7546500</v>
      </c>
      <c r="P67" s="2392">
        <f>M67</f>
        <v>1350000</v>
      </c>
      <c r="Q67" s="2393">
        <f>'Part III-A-Uses of Funds'!Q182</f>
        <v>0.55000000000000004</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 Federal tax credit and 0.55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2603</v>
      </c>
    </row>
    <row r="70" spans="1:17" ht="177" customHeight="1">
      <c r="A70" s="4636" t="s">
        <v>4950</v>
      </c>
      <c r="B70" s="4636"/>
      <c r="C70" s="4636"/>
      <c r="D70" s="4636"/>
      <c r="E70" s="4636"/>
      <c r="F70" s="4636"/>
      <c r="G70" s="4636"/>
      <c r="H70" s="4636"/>
      <c r="I70" s="4636"/>
      <c r="J70" s="4636"/>
      <c r="L70" s="528">
        <f>'Part VI-Pro Forma'!K72</f>
        <v>2321286.7810712112</v>
      </c>
      <c r="M70" s="4652" t="s">
        <v>3013</v>
      </c>
      <c r="N70" s="4653"/>
    </row>
    <row r="71" spans="1:17" ht="6" customHeight="1">
      <c r="A71" s="519"/>
    </row>
    <row r="72" spans="1:17" ht="15">
      <c r="A72" s="519" t="s">
        <v>2604</v>
      </c>
    </row>
    <row r="73" spans="1:17" ht="72.599999999999994" customHeight="1">
      <c r="A73" s="4636" t="s">
        <v>2605</v>
      </c>
      <c r="B73" s="4636"/>
      <c r="C73" s="4636"/>
      <c r="D73" s="4636"/>
      <c r="E73" s="4636"/>
      <c r="F73" s="4636"/>
      <c r="G73" s="4636"/>
      <c r="H73" s="4636"/>
      <c r="I73" s="4636"/>
      <c r="J73" s="4636"/>
    </row>
    <row r="74" spans="1:17" ht="36" customHeight="1">
      <c r="A74" s="4636" t="s">
        <v>2606</v>
      </c>
      <c r="B74" s="4636"/>
      <c r="C74" s="4636"/>
      <c r="D74" s="4636"/>
      <c r="E74" s="4636"/>
      <c r="F74" s="4636"/>
      <c r="G74" s="4636"/>
      <c r="H74" s="4636"/>
      <c r="I74" s="4636"/>
      <c r="J74" s="4636"/>
    </row>
    <row r="75" spans="1:17" ht="6" customHeight="1">
      <c r="A75" s="519"/>
    </row>
    <row r="76" spans="1:17" ht="15">
      <c r="A76" s="519" t="s">
        <v>2607</v>
      </c>
    </row>
    <row r="77" spans="1:17" ht="105.75" customHeight="1">
      <c r="A77" s="4636" t="s">
        <v>2608</v>
      </c>
      <c r="B77" s="4636"/>
      <c r="C77" s="4636"/>
      <c r="D77" s="4636"/>
      <c r="E77" s="4636"/>
      <c r="F77" s="4636"/>
      <c r="G77" s="4636"/>
      <c r="H77" s="4636"/>
      <c r="I77" s="4636"/>
      <c r="J77" s="4636"/>
    </row>
    <row r="78" spans="1:17" ht="6" customHeight="1">
      <c r="A78" s="519"/>
    </row>
    <row r="79" spans="1:17" ht="15">
      <c r="A79" s="519" t="s">
        <v>2609</v>
      </c>
    </row>
    <row r="80" spans="1:17" ht="66" customHeight="1">
      <c r="A80" s="4636" t="s">
        <v>2610</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2611</v>
      </c>
      <c r="B82" s="518"/>
      <c r="C82" s="518"/>
      <c r="D82" s="1003"/>
      <c r="E82" s="518"/>
      <c r="F82" s="518"/>
      <c r="G82" s="518"/>
      <c r="H82" s="518"/>
      <c r="I82" s="518"/>
      <c r="J82" s="529"/>
    </row>
    <row r="83" spans="1:15" s="1192" customFormat="1" ht="63" customHeight="1">
      <c r="A83" s="4636" t="s">
        <v>3540</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2612</v>
      </c>
      <c r="B85" s="4656"/>
      <c r="C85" s="4656"/>
      <c r="D85" s="518"/>
      <c r="E85" s="518"/>
      <c r="F85" s="518"/>
      <c r="G85" s="518"/>
      <c r="H85" s="518"/>
      <c r="I85" s="518"/>
      <c r="J85" s="529"/>
    </row>
    <row r="86" spans="1:15" ht="41.25" customHeight="1">
      <c r="A86" s="4636" t="s">
        <v>4951</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2613</v>
      </c>
    </row>
    <row r="89" spans="1:15" ht="124.15" customHeight="1">
      <c r="A89" s="4636" t="s">
        <v>2614</v>
      </c>
      <c r="B89" s="4636"/>
      <c r="C89" s="4636"/>
      <c r="D89" s="4636"/>
      <c r="E89" s="4636"/>
      <c r="F89" s="4636"/>
      <c r="G89" s="4636"/>
      <c r="H89" s="4636"/>
      <c r="I89" s="4636"/>
      <c r="J89" s="4636"/>
      <c r="L89" s="4653" t="s">
        <v>2615</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6" t="s">
        <v>2617</v>
      </c>
      <c r="B92" s="4636"/>
      <c r="C92" s="4636"/>
      <c r="D92" s="4636"/>
      <c r="E92" s="4636"/>
      <c r="F92" s="4636"/>
      <c r="G92" s="4636"/>
      <c r="H92" s="4636"/>
      <c r="I92" s="4636"/>
      <c r="J92" s="4636"/>
      <c r="L92" s="4653" t="s">
        <v>2618</v>
      </c>
      <c r="M92" s="4653"/>
      <c r="N92" s="531" t="e">
        <f>'After-Tax Analysis'!G66</f>
        <v>#VALUE!</v>
      </c>
      <c r="O92" s="532" t="s">
        <v>2619</v>
      </c>
    </row>
    <row r="93" spans="1:15" ht="6" customHeight="1">
      <c r="A93" s="519"/>
    </row>
    <row r="94" spans="1:15" ht="15">
      <c r="A94" s="519" t="s">
        <v>2620</v>
      </c>
    </row>
    <row r="95" spans="1:15" ht="118.5" customHeight="1">
      <c r="A95" s="4636" t="s">
        <v>2621</v>
      </c>
      <c r="B95" s="4636"/>
      <c r="C95" s="4636"/>
      <c r="D95" s="4636"/>
      <c r="E95" s="4636"/>
      <c r="F95" s="4636"/>
      <c r="G95" s="4636"/>
      <c r="H95" s="4636"/>
      <c r="I95" s="4636"/>
      <c r="J95" s="4636"/>
    </row>
    <row r="96" spans="1:15" ht="20.25" customHeight="1">
      <c r="A96" s="4638" t="s">
        <v>2622</v>
      </c>
      <c r="B96" s="4638"/>
      <c r="C96" s="4638"/>
      <c r="D96" s="4636"/>
      <c r="E96" s="1190"/>
      <c r="F96" s="1190"/>
      <c r="G96" s="1190"/>
      <c r="H96" s="1190"/>
      <c r="I96" s="1190"/>
      <c r="J96" s="1190"/>
    </row>
    <row r="97" spans="1:14" ht="109.5" customHeight="1">
      <c r="A97" s="4648" t="s">
        <v>2623</v>
      </c>
      <c r="B97" s="4649"/>
      <c r="C97" s="4649"/>
      <c r="D97" s="4649"/>
      <c r="E97" s="4649"/>
      <c r="F97" s="4649"/>
      <c r="G97" s="4649"/>
      <c r="H97" s="4649"/>
      <c r="I97" s="4649"/>
      <c r="J97" s="4649"/>
    </row>
    <row r="98" spans="1:14" ht="11.25" customHeight="1">
      <c r="A98" s="519"/>
    </row>
    <row r="99" spans="1:14" ht="15">
      <c r="A99" s="519" t="s">
        <v>2624</v>
      </c>
    </row>
    <row r="100" spans="1:14" ht="110.65" customHeight="1">
      <c r="A100" s="4651" t="s">
        <v>2625</v>
      </c>
      <c r="B100" s="4651"/>
      <c r="C100" s="4651"/>
      <c r="D100" s="4651"/>
      <c r="E100" s="4651"/>
      <c r="F100" s="4651"/>
      <c r="G100" s="4651"/>
      <c r="H100" s="4651"/>
      <c r="I100" s="4651"/>
      <c r="J100" s="4651"/>
      <c r="L100" s="959">
        <f>'Part VI-Pro Forma'!K72</f>
        <v>2321286.7810712112</v>
      </c>
      <c r="M100" s="4654" t="s">
        <v>2626</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2627</v>
      </c>
      <c r="B104" s="4638"/>
      <c r="C104" s="4638"/>
      <c r="D104" s="1190"/>
      <c r="E104" s="1190"/>
      <c r="F104" s="1190"/>
      <c r="G104" s="1190"/>
      <c r="H104" s="1190"/>
      <c r="I104" s="1190"/>
      <c r="J104" s="529"/>
    </row>
    <row r="105" spans="1:14" ht="37.5" customHeight="1">
      <c r="A105" s="4636" t="s">
        <v>2628</v>
      </c>
      <c r="B105" s="4636"/>
      <c r="C105" s="4636"/>
      <c r="D105" s="4636"/>
      <c r="E105" s="4636"/>
      <c r="F105" s="4636"/>
      <c r="G105" s="4636"/>
      <c r="H105" s="4636"/>
      <c r="I105" s="4636"/>
      <c r="J105" s="4636"/>
    </row>
    <row r="106" spans="1:14" ht="6" customHeight="1">
      <c r="A106" s="519"/>
    </row>
    <row r="107" spans="1:14" ht="15">
      <c r="A107" s="519" t="s">
        <v>2629</v>
      </c>
    </row>
    <row r="108" spans="1:14" ht="43.5" customHeight="1">
      <c r="A108" s="4636" t="s">
        <v>2630</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6" t="s">
        <v>3966</v>
      </c>
      <c r="B120" s="4646"/>
      <c r="C120" s="4646"/>
      <c r="D120" s="4646"/>
      <c r="E120" s="4647"/>
      <c r="F120" s="1403" t="s">
        <v>3967</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Flats at Lake View II</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2639</v>
      </c>
      <c r="B8" s="565"/>
      <c r="C8" s="4661" t="str">
        <f>'Part I-Project Identification'!$F$26</f>
        <v>Flats at Lake View II</v>
      </c>
      <c r="D8" s="4661"/>
      <c r="E8" s="1887" t="str">
        <f>'Part I-Project Identification'!$O$7</f>
        <v>2024-0</v>
      </c>
      <c r="F8" s="565" t="s">
        <v>2640</v>
      </c>
      <c r="G8" s="556"/>
      <c r="H8" s="4661" t="str">
        <f>CONCATENATE('Part I-Project Identification'!$F$27,", ",'Part I-Project Identification'!$J$27)</f>
        <v>Warner Robins, Houston</v>
      </c>
      <c r="I8" s="4661"/>
      <c r="J8" s="4661"/>
      <c r="K8" s="4661"/>
      <c r="L8" s="556"/>
      <c r="M8" s="538"/>
    </row>
    <row r="9" spans="1:14" ht="15.75">
      <c r="A9" s="565" t="s">
        <v>2642</v>
      </c>
      <c r="B9" s="565"/>
      <c r="C9" s="4661" t="s">
        <v>1641</v>
      </c>
      <c r="D9" s="4661"/>
      <c r="E9" s="556"/>
      <c r="F9" s="565" t="s">
        <v>2643</v>
      </c>
      <c r="G9" s="556"/>
      <c r="H9" s="4670"/>
      <c r="I9" s="4670"/>
      <c r="J9" s="4670"/>
      <c r="K9" s="4670"/>
      <c r="L9" s="4670"/>
      <c r="M9" s="538"/>
    </row>
    <row r="10" spans="1:14" ht="15.75">
      <c r="A10" s="565" t="s">
        <v>2645</v>
      </c>
      <c r="B10" s="556"/>
      <c r="C10" s="4671"/>
      <c r="D10" s="4671"/>
      <c r="E10" s="556"/>
      <c r="F10" s="565" t="s">
        <v>3047</v>
      </c>
      <c r="G10" s="556"/>
      <c r="H10" s="4666"/>
      <c r="I10" s="4666"/>
      <c r="J10" s="4666"/>
      <c r="K10" s="4666"/>
      <c r="L10" s="4666"/>
    </row>
    <row r="11" spans="1:14" ht="15.75">
      <c r="A11" s="565" t="s">
        <v>2646</v>
      </c>
      <c r="B11" s="556"/>
      <c r="C11" s="4665"/>
      <c r="D11" s="4665"/>
      <c r="E11" s="1901"/>
      <c r="F11" s="565" t="s">
        <v>605</v>
      </c>
      <c r="G11" s="556"/>
      <c r="H11" s="4666"/>
      <c r="I11" s="4666"/>
      <c r="J11" s="4666"/>
      <c r="K11" s="4666"/>
      <c r="L11" s="4666"/>
      <c r="M11" s="4667"/>
      <c r="N11" s="4668"/>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72</v>
      </c>
      <c r="D13" s="26"/>
      <c r="E13" s="1889">
        <f>'Part V-Revenues &amp; Expenses'!$P$63</f>
        <v>63</v>
      </c>
      <c r="F13" s="565" t="s">
        <v>3363</v>
      </c>
      <c r="G13" s="556"/>
      <c r="H13" s="1899"/>
      <c r="I13" s="1891"/>
      <c r="J13" s="1891"/>
      <c r="K13" s="1890">
        <f>'Part V-Revenues &amp; Expenses'!$K$179</f>
        <v>86103.529411764714</v>
      </c>
      <c r="L13" s="556"/>
      <c r="M13" s="504"/>
    </row>
    <row r="14" spans="1:14" ht="15.75">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9" t="s">
        <v>3015</v>
      </c>
      <c r="I14" s="4669"/>
      <c r="J14" s="4669"/>
      <c r="K14" s="4669" t="s">
        <v>3015</v>
      </c>
      <c r="L14" s="4669"/>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22451548.931046732</v>
      </c>
      <c r="D18" s="1895">
        <f>IF(C18=0,"",$C$29/C18)</f>
        <v>0.12694001686711812</v>
      </c>
      <c r="E18" s="556" t="s">
        <v>2887</v>
      </c>
      <c r="F18" s="565" t="s">
        <v>4640</v>
      </c>
      <c r="G18" s="556"/>
      <c r="H18" s="4660">
        <f>'Part III-A-Uses of Funds'!$C$49</f>
        <v>15184800</v>
      </c>
      <c r="I18" s="4660"/>
      <c r="J18" s="1896">
        <f>IF(H18=0,"",$C$29/H18)</f>
        <v>0.18768768768768768</v>
      </c>
      <c r="K18" s="4661" t="s">
        <v>2888</v>
      </c>
      <c r="L18" s="4661"/>
      <c r="M18" s="504"/>
    </row>
    <row r="19" spans="1:13" ht="15.75">
      <c r="A19" s="565" t="s">
        <v>2652</v>
      </c>
      <c r="B19" s="556"/>
      <c r="C19" s="1897">
        <f>C18/C13</f>
        <v>311827.06848676014</v>
      </c>
      <c r="D19" s="556"/>
      <c r="E19" s="556"/>
      <c r="F19" s="565" t="s">
        <v>2652</v>
      </c>
      <c r="G19" s="556"/>
      <c r="H19" s="4662">
        <f>H18/C13</f>
        <v>210900</v>
      </c>
      <c r="I19" s="4662"/>
      <c r="J19" s="556"/>
      <c r="K19" s="556"/>
      <c r="L19" s="556"/>
      <c r="M19" s="504"/>
    </row>
    <row r="20" spans="1:13" ht="15.75">
      <c r="A20" s="565" t="s">
        <v>2653</v>
      </c>
      <c r="B20" s="556"/>
      <c r="C20" s="1887">
        <f>C18/K13</f>
        <v>260.75062293531346</v>
      </c>
      <c r="D20" s="1898"/>
      <c r="E20" s="1898"/>
      <c r="F20" s="565" t="s">
        <v>2653</v>
      </c>
      <c r="G20" s="556"/>
      <c r="H20" s="4661">
        <f>H18/K13</f>
        <v>176.35514018691586</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Specialty Finance Group</v>
      </c>
      <c r="C25" s="543">
        <f>'Part II-Sources of Funds'!I40</f>
        <v>2850000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2850000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19573785</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2850000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0.12694001686711812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0.18768768768768768</v>
      </c>
      <c r="D40" s="504"/>
      <c r="E40" s="504"/>
      <c r="F40" s="507"/>
      <c r="G40" s="507" t="s">
        <v>2673</v>
      </c>
      <c r="H40" s="504"/>
      <c r="I40" s="504"/>
      <c r="K40" s="545">
        <f>C30/C18</f>
        <v>0.87182336773801539</v>
      </c>
      <c r="L40" s="504"/>
      <c r="M40" s="504"/>
    </row>
    <row r="46" spans="1:13" ht="15.75">
      <c r="A46" s="540" t="s">
        <v>2674</v>
      </c>
      <c r="B46" s="534"/>
      <c r="C46" s="534"/>
      <c r="D46" s="534"/>
      <c r="E46" s="534"/>
      <c r="F46" s="534"/>
      <c r="G46" s="534"/>
      <c r="H46" s="534"/>
      <c r="I46" s="534"/>
      <c r="J46" s="534"/>
      <c r="K46" s="534"/>
      <c r="L46" s="534"/>
      <c r="M46" s="504"/>
    </row>
    <row r="47" spans="1:13" ht="15.75">
      <c r="A47" s="540" t="str">
        <f>C8</f>
        <v>Flats at Lake View II</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63" t="s">
        <v>2677</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884220</v>
      </c>
      <c r="D52" s="557"/>
      <c r="E52" s="557">
        <f>$C$52</f>
        <v>884220</v>
      </c>
      <c r="F52" s="557"/>
      <c r="G52" s="557">
        <f>$C$52</f>
        <v>884220</v>
      </c>
      <c r="H52" s="557"/>
      <c r="I52" s="557">
        <f>$C$52</f>
        <v>884220</v>
      </c>
      <c r="J52" s="557"/>
      <c r="K52" s="557">
        <f>$C$52</f>
        <v>884220</v>
      </c>
      <c r="L52" s="558"/>
      <c r="M52"/>
      <c r="N52"/>
    </row>
    <row r="53" spans="1:14" s="504" customFormat="1" ht="18.75" customHeight="1">
      <c r="B53" s="556" t="s">
        <v>2681</v>
      </c>
      <c r="C53" s="557">
        <f>'Part VI-Pro Forma'!B16</f>
        <v>7200.0000000000009</v>
      </c>
      <c r="D53" s="557"/>
      <c r="E53" s="557">
        <f>$C$53</f>
        <v>7200.0000000000009</v>
      </c>
      <c r="F53" s="557"/>
      <c r="G53" s="557">
        <f>$C$53</f>
        <v>7200.0000000000009</v>
      </c>
      <c r="H53" s="557"/>
      <c r="I53" s="557">
        <f>$C$53</f>
        <v>7200.0000000000009</v>
      </c>
      <c r="J53" s="557"/>
      <c r="K53" s="557">
        <f>$C$53</f>
        <v>7200.0000000000009</v>
      </c>
      <c r="L53" s="558"/>
      <c r="M53"/>
      <c r="N53"/>
    </row>
    <row r="54" spans="1:14" s="504" customFormat="1" ht="18.75" customHeight="1">
      <c r="B54" s="556" t="s">
        <v>2679</v>
      </c>
      <c r="C54" s="557">
        <f>'Part VI-Pro Forma'!B17</f>
        <v>-62399.400000000009</v>
      </c>
      <c r="D54" s="557"/>
      <c r="E54" s="557">
        <f>-($C$52+E53)*F50</f>
        <v>-89142</v>
      </c>
      <c r="F54" s="559"/>
      <c r="G54" s="557">
        <f>-($C$52+G53)*0.07</f>
        <v>-62399.400000000009</v>
      </c>
      <c r="H54" s="557"/>
      <c r="I54" s="557">
        <f>-($C$52+I53)*0.07</f>
        <v>-62399.400000000009</v>
      </c>
      <c r="J54" s="557"/>
      <c r="K54" s="557">
        <f>-($C$52+K53)*L54</f>
        <v>-89142</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829020.6</v>
      </c>
      <c r="D56" s="557"/>
      <c r="E56" s="563">
        <f>SUM(E52:E55)</f>
        <v>802278</v>
      </c>
      <c r="F56" s="557"/>
      <c r="G56" s="563">
        <f>SUM(G52:G55)</f>
        <v>829020.6</v>
      </c>
      <c r="H56" s="557"/>
      <c r="I56" s="563">
        <f>SUM(I52:I55)</f>
        <v>829020.6</v>
      </c>
      <c r="J56" s="557"/>
      <c r="K56" s="563">
        <f>SUM(K52:K55)</f>
        <v>802278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12500</v>
      </c>
      <c r="D58" s="557"/>
      <c r="E58" s="557">
        <f>$C$58</f>
        <v>12500</v>
      </c>
      <c r="F58" s="557"/>
      <c r="G58" s="557">
        <f>$C$58</f>
        <v>12500</v>
      </c>
      <c r="H58" s="557"/>
      <c r="I58" s="557">
        <f>$C$58</f>
        <v>12500</v>
      </c>
      <c r="J58" s="557"/>
      <c r="K58" s="557">
        <f>$C$58</f>
        <v>12500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10200</v>
      </c>
      <c r="D60" s="557"/>
      <c r="E60" s="557">
        <f>$C$60</f>
        <v>10200</v>
      </c>
      <c r="F60" s="557"/>
      <c r="G60" s="557">
        <f>$C$60</f>
        <v>10200</v>
      </c>
      <c r="H60" s="557"/>
      <c r="I60" s="557">
        <f>$C$60*(1+$J$50)</f>
        <v>10506</v>
      </c>
      <c r="J60" s="559"/>
      <c r="K60" s="557">
        <f>$C$60*(1+$J$50)</f>
        <v>10506</v>
      </c>
      <c r="L60" s="560">
        <v>0.03</v>
      </c>
      <c r="M60"/>
      <c r="N60"/>
    </row>
    <row r="61" spans="1:14" s="504" customFormat="1" ht="18.75" customHeight="1">
      <c r="B61" s="556" t="s">
        <v>1296</v>
      </c>
      <c r="C61" s="557">
        <f>+'Part V-Revenues &amp; Expenses'!L248</f>
        <v>55000</v>
      </c>
      <c r="D61" s="557"/>
      <c r="E61" s="557">
        <f>$C$61</f>
        <v>55000</v>
      </c>
      <c r="F61" s="557"/>
      <c r="G61" s="557">
        <f>$C$61*(1+H50)</f>
        <v>57750</v>
      </c>
      <c r="H61" s="559"/>
      <c r="I61" s="557">
        <f>$C$61</f>
        <v>55000</v>
      </c>
      <c r="J61" s="557"/>
      <c r="K61" s="557">
        <f>$C$61*(1+$L$61)</f>
        <v>57750</v>
      </c>
      <c r="L61" s="560">
        <v>0.05</v>
      </c>
      <c r="M61"/>
      <c r="N61"/>
    </row>
    <row r="62" spans="1:14" s="504" customFormat="1" ht="18.75" customHeight="1">
      <c r="B62" s="562" t="s">
        <v>2685</v>
      </c>
      <c r="C62" s="563">
        <f>SUM(C58:C61)</f>
        <v>77700</v>
      </c>
      <c r="D62" s="557"/>
      <c r="E62" s="563">
        <f>SUM(E58:E61)</f>
        <v>77700</v>
      </c>
      <c r="F62" s="557"/>
      <c r="G62" s="563">
        <f>SUM(G58:G61)</f>
        <v>80450</v>
      </c>
      <c r="H62" s="557"/>
      <c r="I62" s="563">
        <f>SUM(I58:I61)</f>
        <v>78006</v>
      </c>
      <c r="J62" s="557"/>
      <c r="K62" s="563">
        <f>SUM(K58:K61)</f>
        <v>80756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751320.6</v>
      </c>
      <c r="D64" s="566"/>
      <c r="E64" s="566">
        <f>E56-E62</f>
        <v>724578</v>
      </c>
      <c r="F64" s="566"/>
      <c r="G64" s="566">
        <f>G56-G62</f>
        <v>748570.6</v>
      </c>
      <c r="H64" s="566"/>
      <c r="I64" s="566">
        <f>I56-I62</f>
        <v>751014.6</v>
      </c>
      <c r="J64" s="566"/>
      <c r="K64" s="566">
        <f>K56-K62</f>
        <v>721522</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751320.6</v>
      </c>
      <c r="D70" s="566"/>
      <c r="E70" s="569">
        <f>E64-E66-E68</f>
        <v>724578</v>
      </c>
      <c r="F70" s="566"/>
      <c r="G70" s="569">
        <f>G64-G66-G68</f>
        <v>748570.6</v>
      </c>
      <c r="H70" s="566"/>
      <c r="I70" s="569">
        <f>I64-I66-I68</f>
        <v>751014.6</v>
      </c>
      <c r="J70" s="566"/>
      <c r="K70" s="569">
        <f>K64-K66-K68</f>
        <v>721522</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3.3685328099743481</v>
      </c>
      <c r="D72" s="570"/>
      <c r="E72" s="986">
        <f>-E70/E75</f>
        <v>3.2486328291618696</v>
      </c>
      <c r="F72" s="570"/>
      <c r="G72" s="986">
        <f>-G70/G75</f>
        <v>3.356203232923713</v>
      </c>
      <c r="H72" s="570"/>
      <c r="I72" s="986">
        <f>-I70/I75</f>
        <v>3.3671608643098048</v>
      </c>
      <c r="J72" s="570"/>
      <c r="K72" s="986">
        <f>-K70/K75</f>
        <v>3.2349313064466907</v>
      </c>
      <c r="L72" s="4"/>
      <c r="M72" s="10"/>
      <c r="N72" s="10"/>
    </row>
    <row r="73" spans="1:14" s="504" customFormat="1" ht="18.75" customHeight="1">
      <c r="A73"/>
      <c r="B73" s="556" t="s">
        <v>2691</v>
      </c>
      <c r="C73" s="987">
        <f>C76/C62</f>
        <v>6.7989664982936144</v>
      </c>
      <c r="D73" s="571"/>
      <c r="E73" s="987">
        <f>E76/E62</f>
        <v>6.4547888921160084</v>
      </c>
      <c r="F73" s="571"/>
      <c r="G73" s="987">
        <f>G76/G62</f>
        <v>6.5323765931313096</v>
      </c>
      <c r="H73" s="571"/>
      <c r="I73" s="987">
        <f>I76/I62</f>
        <v>6.7683729061535507</v>
      </c>
      <c r="J73" s="571"/>
      <c r="K73" s="987">
        <f>K76/K62</f>
        <v>6.1726818678168049</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-223040.9030825861</v>
      </c>
      <c r="D75" s="557"/>
      <c r="E75" s="557">
        <f>$C$75</f>
        <v>-223040.9030825861</v>
      </c>
      <c r="F75" s="557"/>
      <c r="G75" s="557">
        <f>$C$75</f>
        <v>-223040.9030825861</v>
      </c>
      <c r="H75" s="557"/>
      <c r="I75" s="557">
        <f>$C$75</f>
        <v>-223040.9030825861</v>
      </c>
      <c r="J75" s="557"/>
      <c r="K75" s="557">
        <f>$C$75</f>
        <v>-223040.9030825861</v>
      </c>
      <c r="L75" s="26"/>
      <c r="M75"/>
      <c r="N75"/>
    </row>
    <row r="76" spans="1:14" s="504" customFormat="1" ht="18.75" customHeight="1">
      <c r="A76"/>
      <c r="B76" s="556" t="s">
        <v>1095</v>
      </c>
      <c r="C76" s="557">
        <f>C70+C75</f>
        <v>528279.69691741385</v>
      </c>
      <c r="D76" s="557"/>
      <c r="E76" s="557">
        <f>E70+E75</f>
        <v>501537.09691741387</v>
      </c>
      <c r="F76" s="557"/>
      <c r="G76" s="557">
        <f>G70+G75</f>
        <v>525529.69691741385</v>
      </c>
      <c r="H76" s="557"/>
      <c r="I76" s="557">
        <f>I70+I75</f>
        <v>527973.69691741385</v>
      </c>
      <c r="J76" s="557"/>
      <c r="K76" s="557">
        <f>K70+K75</f>
        <v>498481.09691741387</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3328</v>
      </c>
    </row>
    <row r="3" spans="1:7" ht="3" customHeight="1"/>
    <row r="4" spans="1:7">
      <c r="A4" s="940" t="s">
        <v>3329</v>
      </c>
      <c r="B4" s="941">
        <f>'Part III-A-Uses of Funds'!G146</f>
        <v>22451548.931046732</v>
      </c>
    </row>
    <row r="5" spans="1:7">
      <c r="A5" s="940" t="s">
        <v>3360</v>
      </c>
      <c r="B5" s="941">
        <f>+B18+B26+B38</f>
        <v>2370697.6683625896</v>
      </c>
    </row>
    <row r="6" spans="1:7">
      <c r="A6" s="940" t="s">
        <v>3330</v>
      </c>
      <c r="B6" s="942">
        <f>+B5-B4</f>
        <v>-20080851.262684144</v>
      </c>
    </row>
    <row r="7" spans="1:7">
      <c r="A7" s="940" t="s">
        <v>3331</v>
      </c>
      <c r="B7" s="943">
        <f>+B6/B4</f>
        <v>-0.89440827999691774</v>
      </c>
    </row>
    <row r="8" spans="1:7" ht="9" customHeight="1"/>
    <row r="9" spans="1:7">
      <c r="A9" s="940" t="s">
        <v>3332</v>
      </c>
      <c r="B9" s="941">
        <f>+B18+B26+B33</f>
        <v>2370697.6683625896</v>
      </c>
    </row>
    <row r="10" spans="1:7">
      <c r="A10" s="940" t="s">
        <v>3330</v>
      </c>
      <c r="B10" s="942">
        <f>+B9-B4</f>
        <v>-20080851.262684144</v>
      </c>
    </row>
    <row r="11" spans="1:7">
      <c r="A11" s="940" t="s">
        <v>3331</v>
      </c>
      <c r="B11" s="943">
        <f>+B10/B4</f>
        <v>-0.89440827999691774</v>
      </c>
    </row>
    <row r="12" spans="1:7" ht="24" customHeight="1"/>
    <row r="13" spans="1:7">
      <c r="A13" s="939" t="s">
        <v>3333</v>
      </c>
      <c r="D13" s="992" t="s">
        <v>3545</v>
      </c>
      <c r="E13" s="993"/>
    </row>
    <row r="14" spans="1:7">
      <c r="A14" s="940" t="s">
        <v>3334</v>
      </c>
      <c r="B14" s="944">
        <f>+SUM('Part II-Sources of Funds'!L51:M52)</f>
        <v>19575000</v>
      </c>
      <c r="D14" s="993"/>
      <c r="E14" s="993"/>
    </row>
    <row r="15" spans="1:7">
      <c r="A15" s="940" t="s">
        <v>3335</v>
      </c>
      <c r="B15" s="945">
        <f>+'Part III-A-Uses of Funds'!J180</f>
        <v>1960154.8931046731</v>
      </c>
      <c r="D15" s="993" t="s">
        <v>1890</v>
      </c>
      <c r="G15" s="994">
        <f>'Part III-A-Uses of Funds'!J168</f>
        <v>17495280.148113389</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8320755.2384427283</v>
      </c>
    </row>
    <row r="20" spans="1:7">
      <c r="A20" s="940" t="s">
        <v>3338</v>
      </c>
      <c r="B20" s="944">
        <f>+B18-B14</f>
        <v>-19575000</v>
      </c>
      <c r="D20" s="993" t="s">
        <v>3550</v>
      </c>
      <c r="G20" s="996">
        <f>+B14-G19</f>
        <v>11254244.761557272</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2850000</v>
      </c>
    </row>
    <row r="25" spans="1:7">
      <c r="A25" s="940" t="s">
        <v>3342</v>
      </c>
      <c r="B25" s="948">
        <f>IF('Part II-Sources of Funds'!E6="Yes","N/A",MAX(B46:P46))</f>
        <v>-34943.76358408056</v>
      </c>
    </row>
    <row r="26" spans="1:7">
      <c r="A26" s="940" t="s">
        <v>3343</v>
      </c>
      <c r="B26" s="938">
        <f>IFERROR(PV('Part II-Sources of Funds'!K40,'Part II-Sources of Funds'!L40,B25+B45),B24)</f>
        <v>2370697.6683625896</v>
      </c>
    </row>
    <row r="27" spans="1:7" ht="9" customHeight="1">
      <c r="B27" s="938"/>
    </row>
    <row r="28" spans="1:7">
      <c r="A28" s="940" t="s">
        <v>3344</v>
      </c>
      <c r="B28" s="949">
        <f>+B26-B24</f>
        <v>-479302.33163741045</v>
      </c>
      <c r="C28" s="950"/>
    </row>
    <row r="29" spans="1:7">
      <c r="A29" s="940" t="s">
        <v>3339</v>
      </c>
      <c r="B29" s="951">
        <f>+B28/B24</f>
        <v>-0.16817625671488085</v>
      </c>
    </row>
    <row r="30" spans="1:7" ht="24" customHeight="1"/>
    <row r="31" spans="1:7">
      <c r="A31" s="939" t="s">
        <v>3274</v>
      </c>
    </row>
    <row r="32" spans="1:7">
      <c r="A32" s="940" t="s">
        <v>3345</v>
      </c>
      <c r="B32" s="952">
        <f>+'Part II-Sources of Funds'!I45</f>
        <v>27763.93104673177</v>
      </c>
    </row>
    <row r="33" spans="1:11">
      <c r="A33" s="940" t="s">
        <v>3346</v>
      </c>
      <c r="B33" s="938"/>
    </row>
    <row r="34" spans="1:11" ht="9" customHeight="1">
      <c r="B34" s="938"/>
    </row>
    <row r="35" spans="1:11">
      <c r="A35" s="940" t="s">
        <v>3347</v>
      </c>
      <c r="B35" s="952">
        <f>+B33-B32</f>
        <v>-27763.93104673177</v>
      </c>
    </row>
    <row r="36" spans="1:11">
      <c r="A36" s="940" t="s">
        <v>3348</v>
      </c>
      <c r="B36" s="937">
        <f>+B35/B32</f>
        <v>-1</v>
      </c>
    </row>
    <row r="37" spans="1:11" ht="24" customHeight="1">
      <c r="B37" s="938"/>
    </row>
    <row r="38" spans="1:11">
      <c r="A38" s="939" t="s">
        <v>3349</v>
      </c>
      <c r="B38" s="938">
        <f>+SUM('Part II-Sources of Funds'!I44,'Part II-Sources of Funds'!I49,'Part II-Sources of Funds'!I50,'Part II-Sources of Funds'!I53:I59)</f>
        <v>0</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309581.59999999998</v>
      </c>
      <c r="C44" s="941">
        <f>+'Part VI-Pro Forma'!C25</f>
        <v>310993.37199999997</v>
      </c>
      <c r="D44" s="941">
        <f>+'Part VI-Pro Forma'!D25</f>
        <v>312289.56303999998</v>
      </c>
      <c r="E44" s="941">
        <f>+'Part VI-Pro Forma'!E25</f>
        <v>313464.8996087999</v>
      </c>
      <c r="F44" s="941">
        <f>+'Part VI-Pro Forma'!F25</f>
        <v>314510.85366821603</v>
      </c>
      <c r="G44" s="941">
        <f>+'Part VI-Pro Forma'!G25</f>
        <v>315421.6336908376</v>
      </c>
      <c r="H44" s="941">
        <f>+'Part VI-Pro Forma'!H25</f>
        <v>316188.17540238932</v>
      </c>
      <c r="I44" s="941">
        <f>+'Part VI-Pro Forma'!I25</f>
        <v>316805.13221930381</v>
      </c>
      <c r="J44" s="941">
        <f>+'Part VI-Pro Forma'!J25</f>
        <v>317262.86537182308</v>
      </c>
      <c r="K44" s="941">
        <f>+'Part VI-Pro Forma'!K25</f>
        <v>317552.43370263639</v>
      </c>
    </row>
    <row r="45" spans="1:11">
      <c r="A45" s="940" t="s">
        <v>3351</v>
      </c>
      <c r="B45" s="941">
        <f>SUM('Part VI-Pro Forma'!B26:B29)</f>
        <v>-223040.9030825861</v>
      </c>
      <c r="C45" s="941">
        <f>SUM('Part VI-Pro Forma'!C26:C29)</f>
        <v>-223040.9030825861</v>
      </c>
      <c r="D45" s="941">
        <f>SUM('Part VI-Pro Forma'!D26:D29)</f>
        <v>-223040.9030825861</v>
      </c>
      <c r="E45" s="941">
        <f>SUM('Part VI-Pro Forma'!E26:E29)</f>
        <v>-223040.9030825861</v>
      </c>
      <c r="F45" s="941">
        <f>SUM('Part VI-Pro Forma'!F26:F29)</f>
        <v>-223040.9030825861</v>
      </c>
      <c r="G45" s="941">
        <f>SUM('Part VI-Pro Forma'!G26:G29)</f>
        <v>-223040.9030825861</v>
      </c>
      <c r="H45" s="941">
        <f>SUM('Part VI-Pro Forma'!H26:H29)</f>
        <v>-223040.9030825861</v>
      </c>
      <c r="I45" s="941">
        <f>SUM('Part VI-Pro Forma'!I26:I29)</f>
        <v>-223040.9030825861</v>
      </c>
      <c r="J45" s="941">
        <f>SUM('Part VI-Pro Forma'!J26:J29)</f>
        <v>-223040.9030825861</v>
      </c>
      <c r="K45" s="941">
        <f>SUM('Part VI-Pro Forma'!K26:K29)</f>
        <v>-223040.9030825861</v>
      </c>
    </row>
    <row r="46" spans="1:11">
      <c r="A46" s="940" t="s">
        <v>3352</v>
      </c>
      <c r="B46" s="942">
        <f t="shared" ref="B46:K46" si="0">-B44/B48-B45</f>
        <v>-34943.76358408056</v>
      </c>
      <c r="C46" s="942">
        <f t="shared" si="0"/>
        <v>-36120.240250747214</v>
      </c>
      <c r="D46" s="942">
        <f t="shared" si="0"/>
        <v>-37200.399450747238</v>
      </c>
      <c r="E46" s="942">
        <f t="shared" si="0"/>
        <v>-38179.846591413836</v>
      </c>
      <c r="F46" s="942">
        <f t="shared" si="0"/>
        <v>-39051.474974260607</v>
      </c>
      <c r="G46" s="942">
        <f t="shared" si="0"/>
        <v>-39810.458326445223</v>
      </c>
      <c r="H46" s="942">
        <f t="shared" si="0"/>
        <v>-40449.243086071656</v>
      </c>
      <c r="I46" s="942">
        <f t="shared" si="0"/>
        <v>-40963.373766833771</v>
      </c>
      <c r="J46" s="942">
        <f t="shared" si="0"/>
        <v>-41344.81806059982</v>
      </c>
      <c r="K46" s="942">
        <f t="shared" si="0"/>
        <v>-41586.125002944231</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309581.59999999998</v>
      </c>
      <c r="C51" s="942">
        <f t="shared" ref="C51:K51" si="2">+C44</f>
        <v>310993.37199999997</v>
      </c>
      <c r="D51" s="942">
        <f t="shared" si="2"/>
        <v>312289.56303999998</v>
      </c>
      <c r="E51" s="942">
        <f t="shared" si="2"/>
        <v>313464.8996087999</v>
      </c>
      <c r="F51" s="942">
        <f t="shared" si="2"/>
        <v>314510.85366821603</v>
      </c>
      <c r="G51" s="942">
        <f t="shared" si="2"/>
        <v>315421.6336908376</v>
      </c>
      <c r="H51" s="942">
        <f t="shared" si="2"/>
        <v>316188.17540238932</v>
      </c>
      <c r="I51" s="942">
        <f t="shared" si="2"/>
        <v>316805.13221930381</v>
      </c>
      <c r="J51" s="942">
        <f t="shared" si="2"/>
        <v>317262.86537182308</v>
      </c>
      <c r="K51" s="942">
        <f t="shared" si="2"/>
        <v>317552.43370263639</v>
      </c>
    </row>
    <row r="52" spans="1:17">
      <c r="A52" s="940" t="s">
        <v>3354</v>
      </c>
      <c r="B52" s="942">
        <f>IF($B$25="N/A",B45,B45+$B$25)</f>
        <v>-257984.66666666666</v>
      </c>
      <c r="C52" s="942">
        <f t="shared" ref="C52:K52" si="3">IF($B$25="N/A",C45,C45+$B$25)</f>
        <v>-257984.66666666666</v>
      </c>
      <c r="D52" s="942">
        <f t="shared" si="3"/>
        <v>-257984.66666666666</v>
      </c>
      <c r="E52" s="942">
        <f t="shared" si="3"/>
        <v>-257984.66666666666</v>
      </c>
      <c r="F52" s="942">
        <f t="shared" si="3"/>
        <v>-257984.66666666666</v>
      </c>
      <c r="G52" s="942">
        <f t="shared" si="3"/>
        <v>-257984.66666666666</v>
      </c>
      <c r="H52" s="942">
        <f t="shared" si="3"/>
        <v>-257984.66666666666</v>
      </c>
      <c r="I52" s="942">
        <f t="shared" si="3"/>
        <v>-257984.66666666666</v>
      </c>
      <c r="J52" s="942">
        <f t="shared" si="3"/>
        <v>-257984.66666666666</v>
      </c>
      <c r="K52" s="942">
        <f t="shared" si="3"/>
        <v>-257984.66666666666</v>
      </c>
    </row>
    <row r="53" spans="1:17">
      <c r="A53" s="940" t="s">
        <v>3355</v>
      </c>
      <c r="B53" s="941">
        <f>+'Part VI-Pro Forma'!B31</f>
        <v>-5000</v>
      </c>
      <c r="C53" s="941">
        <f>+'Part VI-Pro Forma'!C31</f>
        <v>-5150</v>
      </c>
      <c r="D53" s="941">
        <f>+'Part VI-Pro Forma'!D31</f>
        <v>-5304.5</v>
      </c>
      <c r="E53" s="941">
        <f>+'Part VI-Pro Forma'!E31</f>
        <v>-5463.6350000000002</v>
      </c>
      <c r="F53" s="941">
        <f>+'Part VI-Pro Forma'!F31</f>
        <v>-5627.5440500000004</v>
      </c>
      <c r="G53" s="941">
        <f>+'Part VI-Pro Forma'!G31</f>
        <v>-5796.3703715000001</v>
      </c>
      <c r="H53" s="941">
        <f>+'Part VI-Pro Forma'!H31</f>
        <v>-5970.2614826449999</v>
      </c>
      <c r="I53" s="941">
        <f>+'Part VI-Pro Forma'!I31</f>
        <v>-6149.3693271243501</v>
      </c>
      <c r="J53" s="941">
        <f>+'Part VI-Pro Forma'!J31</f>
        <v>-6333.8504069380806</v>
      </c>
      <c r="K53" s="941">
        <f>+'Part VI-Pro Forma'!K31</f>
        <v>-6523.865919146223</v>
      </c>
    </row>
    <row r="54" spans="1:17">
      <c r="A54" s="940" t="s">
        <v>3356</v>
      </c>
      <c r="B54" s="942">
        <f>+SUM(B51:B53)</f>
        <v>46596.93333333332</v>
      </c>
      <c r="C54" s="942">
        <f t="shared" ref="C54:K54" si="4">+SUM(C51:C53)</f>
        <v>47858.705333333317</v>
      </c>
      <c r="D54" s="942">
        <f t="shared" si="4"/>
        <v>49000.396373333322</v>
      </c>
      <c r="E54" s="942">
        <f t="shared" si="4"/>
        <v>50016.597942133238</v>
      </c>
      <c r="F54" s="942">
        <f t="shared" si="4"/>
        <v>50898.64295154938</v>
      </c>
      <c r="G54" s="942">
        <f t="shared" si="4"/>
        <v>51640.596652670938</v>
      </c>
      <c r="H54" s="942">
        <f t="shared" si="4"/>
        <v>52233.247253077658</v>
      </c>
      <c r="I54" s="942">
        <f t="shared" si="4"/>
        <v>52671.096225512796</v>
      </c>
      <c r="J54" s="942">
        <f t="shared" si="4"/>
        <v>52944.348298218341</v>
      </c>
      <c r="K54" s="942">
        <f t="shared" si="4"/>
        <v>53043.901116823516</v>
      </c>
    </row>
    <row r="55" spans="1:17">
      <c r="A55" s="940" t="s">
        <v>3274</v>
      </c>
      <c r="B55" s="942">
        <f>-B54</f>
        <v>-46596.93333333332</v>
      </c>
      <c r="C55" s="942">
        <f t="shared" ref="C55:K55" si="5">-C54</f>
        <v>-47858.705333333317</v>
      </c>
      <c r="D55" s="942">
        <f t="shared" si="5"/>
        <v>-49000.396373333322</v>
      </c>
      <c r="E55" s="942">
        <f t="shared" si="5"/>
        <v>-50016.597942133238</v>
      </c>
      <c r="F55" s="942">
        <f t="shared" si="5"/>
        <v>-50898.64295154938</v>
      </c>
      <c r="G55" s="942">
        <f t="shared" si="5"/>
        <v>-51640.596652670938</v>
      </c>
      <c r="H55" s="942">
        <f t="shared" si="5"/>
        <v>-52233.247253077658</v>
      </c>
      <c r="I55" s="942">
        <f t="shared" si="5"/>
        <v>-52671.096225512796</v>
      </c>
      <c r="J55" s="942">
        <f t="shared" si="5"/>
        <v>-52944.348298218341</v>
      </c>
      <c r="K55" s="942">
        <f t="shared" si="5"/>
        <v>-53043.901116823516</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2285769.0605354114</v>
      </c>
      <c r="C58" s="941">
        <f>IF($B$26="","",-FV('Part II-Sources of Funds'!$K$40/12,12,C52/12,C26))</f>
        <v>-266941.67036519997</v>
      </c>
      <c r="D58" s="941">
        <f>IF($B$26="","",-FV('Part II-Sources of Funds'!$K$40/12,12,D52/12,D26))</f>
        <v>-266941.67036519997</v>
      </c>
      <c r="E58" s="941">
        <f>IF($B$26="","",-FV('Part II-Sources of Funds'!$K$40/12,12,E52/12,E26))</f>
        <v>-266941.67036519997</v>
      </c>
      <c r="F58" s="941">
        <f>IF($B$26="","",-FV('Part II-Sources of Funds'!$K$40/12,12,F52/12,F26))</f>
        <v>-266941.67036519997</v>
      </c>
      <c r="G58" s="941">
        <f>IF($B$26="","",-FV('Part II-Sources of Funds'!$K$40/12,12,G52/12,G26))</f>
        <v>-266941.67036519997</v>
      </c>
      <c r="H58" s="941">
        <f>IF($B$26="","",-FV('Part II-Sources of Funds'!$K$40/12,12,H52/12,H26))</f>
        <v>-266941.67036519997</v>
      </c>
      <c r="I58" s="941">
        <f>IF($B$26="","",-FV('Part II-Sources of Funds'!$K$40/12,12,I52/12,I26))</f>
        <v>-266941.67036519997</v>
      </c>
      <c r="J58" s="941">
        <f>IF($B$26="","",-FV('Part II-Sources of Funds'!$K$40/12,12,J52/12,J26))</f>
        <v>-266941.67036519997</v>
      </c>
      <c r="K58" s="941">
        <f>IF($B$26="","",-FV('Part II-Sources of Funds'!$K$40/12,12,K52/12,K26))</f>
        <v>-266941.67036519997</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317666.58313076745</v>
      </c>
      <c r="C64" s="941">
        <f>+'Part VI-Pro Forma'!C57</f>
        <v>317596.73577008338</v>
      </c>
      <c r="D64" s="941">
        <f>+'Part VI-Pro Forma'!D57</f>
        <v>317331.97869148682</v>
      </c>
      <c r="E64" s="941">
        <f>+'Part VI-Pro Forma'!E57</f>
        <v>316864.05231749819</v>
      </c>
      <c r="F64" s="941">
        <f>+'Part VI-Pro Forma'!F57</f>
        <v>316181.33843759511</v>
      </c>
      <c r="G64" s="941">
        <f>+'Part VI-Pro Forma'!G57</f>
        <v>315274.8478323064</v>
      </c>
      <c r="H64" s="941">
        <f>+'Part VI-Pro Forma'!H57</f>
        <v>314134.20749369124</v>
      </c>
      <c r="I64" s="941">
        <f>+'Part VI-Pro Forma'!I57</f>
        <v>312746.64742944558</v>
      </c>
      <c r="J64" s="941">
        <f>+'Part VI-Pro Forma'!J57</f>
        <v>311100.98703749134</v>
      </c>
      <c r="K64" s="941">
        <f>+'Part VI-Pro Forma'!K57</f>
        <v>309185.6210374817</v>
      </c>
    </row>
    <row r="65" spans="1:11">
      <c r="A65" s="940" t="s">
        <v>3351</v>
      </c>
      <c r="B65" s="941">
        <f>SUM('Part VI-Pro Forma'!B58:B61)</f>
        <v>-223040.9030825861</v>
      </c>
      <c r="C65" s="941">
        <f>SUM('Part VI-Pro Forma'!C58:C61)</f>
        <v>-223040.9030825861</v>
      </c>
      <c r="D65" s="941">
        <f>SUM('Part VI-Pro Forma'!D58:D61)</f>
        <v>-223040.9030825861</v>
      </c>
      <c r="E65" s="941">
        <f>SUM('Part VI-Pro Forma'!E58:E61)</f>
        <v>-223040.9030825861</v>
      </c>
      <c r="F65" s="941">
        <f>SUM('Part VI-Pro Forma'!F58:F61)</f>
        <v>-223040.9030825861</v>
      </c>
      <c r="G65" s="941">
        <f>SUM('Part VI-Pro Forma'!G58:G61)</f>
        <v>-223040.9030825861</v>
      </c>
      <c r="H65" s="941">
        <f>SUM('Part VI-Pro Forma'!H58:H61)</f>
        <v>-223040.9030825861</v>
      </c>
      <c r="I65" s="941">
        <f>SUM('Part VI-Pro Forma'!I58:I61)</f>
        <v>-223040.9030825861</v>
      </c>
      <c r="J65" s="941">
        <f>SUM('Part VI-Pro Forma'!J58:J61)</f>
        <v>-223040.9030825861</v>
      </c>
      <c r="K65" s="941">
        <f>SUM('Part VI-Pro Forma'!K58:K61)</f>
        <v>-223040.9030825861</v>
      </c>
    </row>
    <row r="66" spans="1:11">
      <c r="A66" s="940" t="s">
        <v>3352</v>
      </c>
      <c r="B66" s="942">
        <f t="shared" ref="B66:K66" si="7">-B64/B68-B65</f>
        <v>-41681.249526386819</v>
      </c>
      <c r="C66" s="942">
        <f t="shared" si="7"/>
        <v>-41623.043392483407</v>
      </c>
      <c r="D66" s="942">
        <f t="shared" si="7"/>
        <v>-41402.412493652926</v>
      </c>
      <c r="E66" s="942">
        <f t="shared" si="7"/>
        <v>-41012.473848662426</v>
      </c>
      <c r="F66" s="942">
        <f t="shared" si="7"/>
        <v>-40443.545615409821</v>
      </c>
      <c r="G66" s="942">
        <f t="shared" si="7"/>
        <v>-39688.136777669279</v>
      </c>
      <c r="H66" s="942">
        <f t="shared" si="7"/>
        <v>-38737.603162156622</v>
      </c>
      <c r="I66" s="942">
        <f t="shared" si="7"/>
        <v>-37581.303108618566</v>
      </c>
      <c r="J66" s="942">
        <f t="shared" si="7"/>
        <v>-36209.919448656699</v>
      </c>
      <c r="K66" s="942">
        <f t="shared" si="7"/>
        <v>-34613.781115315331</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317666.58313076745</v>
      </c>
      <c r="C71" s="942">
        <f t="shared" si="9"/>
        <v>317596.73577008338</v>
      </c>
      <c r="D71" s="942">
        <f t="shared" si="9"/>
        <v>317331.97869148682</v>
      </c>
      <c r="E71" s="942">
        <f t="shared" si="9"/>
        <v>316864.05231749819</v>
      </c>
      <c r="F71" s="942">
        <f t="shared" si="9"/>
        <v>316181.33843759511</v>
      </c>
      <c r="G71" s="942">
        <f t="shared" si="9"/>
        <v>315274.8478323064</v>
      </c>
      <c r="H71" s="942">
        <f>+H64</f>
        <v>314134.20749369124</v>
      </c>
      <c r="I71" s="942">
        <f>+I64</f>
        <v>312746.64742944558</v>
      </c>
      <c r="J71" s="942">
        <f>+J64</f>
        <v>311100.98703749134</v>
      </c>
      <c r="K71" s="942">
        <f>+K64</f>
        <v>309185.6210374817</v>
      </c>
    </row>
    <row r="72" spans="1:11">
      <c r="A72" s="940" t="s">
        <v>3354</v>
      </c>
      <c r="B72" s="942">
        <f t="shared" ref="B72:G72" si="10">IF($B$25="N/A",B65,B65+$B$25)</f>
        <v>-257984.66666666666</v>
      </c>
      <c r="C72" s="942">
        <f t="shared" si="10"/>
        <v>-257984.66666666666</v>
      </c>
      <c r="D72" s="942">
        <f t="shared" si="10"/>
        <v>-257984.66666666666</v>
      </c>
      <c r="E72" s="942">
        <f t="shared" si="10"/>
        <v>-257984.66666666666</v>
      </c>
      <c r="F72" s="942">
        <f t="shared" si="10"/>
        <v>-257984.66666666666</v>
      </c>
      <c r="G72" s="942">
        <f t="shared" si="10"/>
        <v>-257984.66666666666</v>
      </c>
      <c r="H72" s="942">
        <f>IF($B$25="N/A",H65,H65+$B$25)</f>
        <v>-257984.66666666666</v>
      </c>
      <c r="I72" s="942">
        <f>IF($B$25="N/A",I65,I65+$B$25)</f>
        <v>-257984.66666666666</v>
      </c>
      <c r="J72" s="942">
        <f>IF($B$25="N/A",J65,J65+$B$25)</f>
        <v>-257984.66666666666</v>
      </c>
      <c r="K72" s="942">
        <f>IF($B$25="N/A",K65,K65+$B$25)</f>
        <v>-257984.66666666666</v>
      </c>
    </row>
    <row r="73" spans="1:11">
      <c r="A73" s="940" t="s">
        <v>3355</v>
      </c>
      <c r="B73" s="941">
        <f>+'Part VI-Pro Forma'!B63</f>
        <v>-6719.5818967206096</v>
      </c>
      <c r="C73" s="941">
        <f>+'Part VI-Pro Forma'!C63</f>
        <v>-6921.1693536222283</v>
      </c>
      <c r="D73" s="941">
        <f>+'Part VI-Pro Forma'!D63</f>
        <v>-7128.8044342308949</v>
      </c>
      <c r="E73" s="941">
        <f>+'Part VI-Pro Forma'!E63</f>
        <v>-7342.6685672578224</v>
      </c>
      <c r="F73" s="941">
        <f>+'Part VI-Pro Forma'!F63</f>
        <v>-7562.9486242755574</v>
      </c>
      <c r="G73" s="941">
        <f>+'Part VI-Pro Forma'!G63</f>
        <v>0</v>
      </c>
      <c r="H73" s="941">
        <f>+'Part VI-Pro Forma'!H63</f>
        <v>0</v>
      </c>
      <c r="I73" s="941">
        <f>+'Part VI-Pro Forma'!I63</f>
        <v>0</v>
      </c>
      <c r="J73" s="941">
        <f>+'Part VI-Pro Forma'!J63</f>
        <v>0</v>
      </c>
      <c r="K73" s="941">
        <f>+'Part VI-Pro Forma'!K63</f>
        <v>0</v>
      </c>
    </row>
    <row r="74" spans="1:11">
      <c r="A74" s="940" t="s">
        <v>3356</v>
      </c>
      <c r="B74" s="942">
        <f t="shared" ref="B74:G74" si="11">+SUM(B71:B73)</f>
        <v>52962.334567380189</v>
      </c>
      <c r="C74" s="942">
        <f t="shared" si="11"/>
        <v>52690.899749794495</v>
      </c>
      <c r="D74" s="942">
        <f t="shared" si="11"/>
        <v>52218.507590589266</v>
      </c>
      <c r="E74" s="942">
        <f t="shared" si="11"/>
        <v>51536.717083573712</v>
      </c>
      <c r="F74" s="942">
        <f t="shared" si="11"/>
        <v>50633.723146652897</v>
      </c>
      <c r="G74" s="942">
        <f t="shared" si="11"/>
        <v>57290.181165639748</v>
      </c>
      <c r="H74" s="942">
        <f>+SUM(H71:H73)</f>
        <v>56149.540827024583</v>
      </c>
      <c r="I74" s="942">
        <f>+SUM(I71:I73)</f>
        <v>54761.980762778927</v>
      </c>
      <c r="J74" s="942">
        <f>+SUM(J71:J73)</f>
        <v>53116.320370824687</v>
      </c>
      <c r="K74" s="942">
        <f>+SUM(K71:K73)</f>
        <v>51200.954370815045</v>
      </c>
    </row>
    <row r="75" spans="1:11">
      <c r="A75" s="940" t="s">
        <v>3274</v>
      </c>
      <c r="B75" s="942">
        <f t="shared" ref="B75:G75" si="12">-B74</f>
        <v>-52962.334567380189</v>
      </c>
      <c r="C75" s="942">
        <f t="shared" si="12"/>
        <v>-52690.899749794495</v>
      </c>
      <c r="D75" s="942">
        <f t="shared" si="12"/>
        <v>-52218.507590589266</v>
      </c>
      <c r="E75" s="942">
        <f t="shared" si="12"/>
        <v>-51536.717083573712</v>
      </c>
      <c r="F75" s="942">
        <f t="shared" si="12"/>
        <v>-50633.723146652897</v>
      </c>
      <c r="G75" s="942">
        <f t="shared" si="12"/>
        <v>-57290.181165639748</v>
      </c>
      <c r="H75" s="942">
        <f>-H74</f>
        <v>-56149.540827024583</v>
      </c>
      <c r="I75" s="942">
        <f>-I74</f>
        <v>-54761.980762778927</v>
      </c>
      <c r="J75" s="942">
        <f>-J74</f>
        <v>-53116.320370824687</v>
      </c>
      <c r="K75" s="942">
        <f>-K74</f>
        <v>-51200.954370815045</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-554378.0970169506</v>
      </c>
      <c r="C78" s="941">
        <f>IF($B$26="","",-FV('Part II-Sources of Funds'!$K$40/12,12,C72/12,L58))</f>
        <v>-266941.67036519997</v>
      </c>
      <c r="D78" s="941">
        <f>IF($B$26="","",-FV('Part II-Sources of Funds'!$K$40/12,12,D72/12,M58))</f>
        <v>-266941.67036519997</v>
      </c>
      <c r="E78" s="941">
        <f>IF($B$26="","",-FV('Part II-Sources of Funds'!$K$40/12,12,E72/12,N58))</f>
        <v>-266941.67036519997</v>
      </c>
      <c r="F78" s="941">
        <f>IF($B$26="","",-FV('Part II-Sources of Funds'!$K$40/12,12,F72/12,O58))</f>
        <v>-266941.67036519997</v>
      </c>
      <c r="G78" s="941">
        <f>IF($B$26="","",-FV('Part II-Sources of Funds'!$K$40/12,12,G72/12,P58))</f>
        <v>-266941.67036519997</v>
      </c>
      <c r="H78" s="941">
        <f>IF($B$26="","",-FV('Part II-Sources of Funds'!$K$40/12,12,H72/12,Q58))</f>
        <v>-266941.67036519997</v>
      </c>
      <c r="I78" s="941">
        <f>IF($B$26="","",-FV('Part II-Sources of Funds'!$K$40/12,12,I72/12,R58))</f>
        <v>-266941.67036519997</v>
      </c>
      <c r="J78" s="941">
        <f>IF($B$26="","",-FV('Part II-Sources of Funds'!$K$40/12,12,J72/12,S58))</f>
        <v>-266941.67036519997</v>
      </c>
      <c r="K78" s="941">
        <f>IF($B$26="","",-FV('Part II-Sources of Funds'!$K$40/12,12,K72/12,T58))</f>
        <v>-266941.67036519997</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Flats at Lake View II</v>
      </c>
    </row>
    <row r="2" spans="1:15" ht="13.5" customHeight="1"/>
    <row r="3" spans="1:15" ht="13.5" customHeight="1">
      <c r="A3" s="514" t="s">
        <v>2698</v>
      </c>
      <c r="C3" s="513" t="s">
        <v>2699</v>
      </c>
      <c r="E3" s="575">
        <f>SUM('Part III-A-Uses of Funds'!J162,'Part III-A-Uses of Funds'!M162,'Part III-A-Uses of Funds'!P162)</f>
        <v>19994605.883558158</v>
      </c>
      <c r="F3" s="1003" t="s">
        <v>2700</v>
      </c>
      <c r="H3" s="988">
        <v>27.5</v>
      </c>
      <c r="I3" s="513" t="s">
        <v>2267</v>
      </c>
      <c r="K3" s="518" t="s">
        <v>2721</v>
      </c>
      <c r="M3" s="1003"/>
      <c r="O3" s="576"/>
    </row>
    <row r="4" spans="1:15" ht="13.5" customHeight="1">
      <c r="C4" s="513" t="s">
        <v>3043</v>
      </c>
      <c r="E4" s="575">
        <f>SUM('Part III-A-Uses of Funds'!G97:H101)</f>
        <v>116000</v>
      </c>
      <c r="F4" s="1003" t="s">
        <v>3542</v>
      </c>
      <c r="H4" s="514">
        <f>'Part II-Sources of Funds'!M40</f>
        <v>40</v>
      </c>
      <c r="I4" s="513" t="s">
        <v>2267</v>
      </c>
      <c r="K4" s="577" t="s">
        <v>2890</v>
      </c>
      <c r="M4" s="1003"/>
    </row>
    <row r="5" spans="1:15" ht="13.5" customHeight="1">
      <c r="C5" s="513" t="s">
        <v>3044</v>
      </c>
      <c r="E5" s="575">
        <f>SUM('Part III-A-Uses of Funds'!G105:H111)</f>
        <v>187100</v>
      </c>
      <c r="F5" s="1003" t="s">
        <v>3541</v>
      </c>
      <c r="H5" s="988">
        <v>15</v>
      </c>
      <c r="I5" s="513" t="s">
        <v>2267</v>
      </c>
      <c r="K5" s="576">
        <f>-E6</f>
        <v>-19573785</v>
      </c>
    </row>
    <row r="6" spans="1:15" ht="13.5" customHeight="1">
      <c r="C6" s="513" t="s">
        <v>2701</v>
      </c>
      <c r="E6" s="578">
        <f>'Part II-Sources of Funds'!$I$51+'Part II-Sources of Funds'!$I$52</f>
        <v>19573785</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53776.765870682109</v>
      </c>
      <c r="D9" s="583">
        <f>'Part VI-Pro Forma'!C33</f>
        <v>82802.468917413877</v>
      </c>
      <c r="E9" s="583">
        <f>'Part VI-Pro Forma'!D33</f>
        <v>83944.159957413882</v>
      </c>
      <c r="F9" s="583">
        <f>'Part VI-Pro Forma'!E33</f>
        <v>84960.361526213805</v>
      </c>
      <c r="G9" s="583">
        <f>'Part VI-Pro Forma'!F33</f>
        <v>85842.40653562994</v>
      </c>
      <c r="H9" s="583">
        <f>'Part VI-Pro Forma'!G33</f>
        <v>86584.360236751498</v>
      </c>
      <c r="I9" s="583">
        <f>'Part VI-Pro Forma'!H33</f>
        <v>87177.010837158217</v>
      </c>
      <c r="K9" s="576" t="e">
        <f>F24</f>
        <v>#VALUE!</v>
      </c>
      <c r="N9" s="584" t="s">
        <v>2707</v>
      </c>
    </row>
    <row r="10" spans="1:15" ht="13.5" customHeight="1">
      <c r="A10" s="513" t="s">
        <v>2706</v>
      </c>
      <c r="C10" s="962">
        <f>'Part II-Sources of Funds'!I40-'Part VI-Pro Forma'!B40</f>
        <v>11972.634794184007</v>
      </c>
      <c r="D10" s="585">
        <f>'Part VI-Pro Forma'!B40-'Part VI-Pro Forma'!C40</f>
        <v>12891.847713916562</v>
      </c>
      <c r="E10" s="585">
        <f>'Part VI-Pro Forma'!C40-'Part VI-Pro Forma'!D40</f>
        <v>13881.634271476418</v>
      </c>
      <c r="F10" s="585">
        <f>'Part VI-Pro Forma'!D40-'Part VI-Pro Forma'!E40</f>
        <v>14947.412839744706</v>
      </c>
      <c r="G10" s="585">
        <f>'Part VI-Pro Forma'!E40-'Part VI-Pro Forma'!F40</f>
        <v>16095.017793463543</v>
      </c>
      <c r="H10" s="585">
        <f>'Part VI-Pro Forma'!F40-'Part VI-Pro Forma'!G40</f>
        <v>17330.731448261067</v>
      </c>
      <c r="I10" s="585">
        <f>'Part VI-Pro Forma'!G40-'Part VI-Pro Forma'!H40</f>
        <v>18661.31845183298</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-21600</v>
      </c>
      <c r="D13" s="963">
        <f>'Part VI-Pro Forma'!C23</f>
        <v>-22248</v>
      </c>
      <c r="E13" s="963">
        <f>'Part VI-Pro Forma'!D23</f>
        <v>-22915.439999999999</v>
      </c>
      <c r="F13" s="963">
        <f>'Part VI-Pro Forma'!E23</f>
        <v>-23602.903200000001</v>
      </c>
      <c r="G13" s="963">
        <f>'Part VI-Pro Forma'!F23</f>
        <v>-24310.990296</v>
      </c>
      <c r="H13" s="963">
        <f>'Part VI-Pro Forma'!G23</f>
        <v>-25040.320004879995</v>
      </c>
      <c r="I13" s="963">
        <f>'Part VI-Pro Forma'!H23</f>
        <v>-25791.529605026397</v>
      </c>
      <c r="K13" s="576" t="e">
        <f>C44</f>
        <v>#VALUE!</v>
      </c>
      <c r="O13" s="581"/>
    </row>
    <row r="14" spans="1:15" ht="13.5" customHeight="1">
      <c r="A14" s="587" t="s">
        <v>3046</v>
      </c>
      <c r="B14" s="587"/>
      <c r="C14" s="963">
        <f>'Part VI-Pro Forma'!B32</f>
        <v>-27763.93104673177</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727076.57758393302</v>
      </c>
      <c r="D15" s="588">
        <f t="shared" si="0"/>
        <v>727076.57758393302</v>
      </c>
      <c r="E15" s="588">
        <f t="shared" si="0"/>
        <v>727076.57758393302</v>
      </c>
      <c r="F15" s="588">
        <f t="shared" si="0"/>
        <v>727076.57758393302</v>
      </c>
      <c r="G15" s="588">
        <f t="shared" si="0"/>
        <v>727076.57758393302</v>
      </c>
      <c r="H15" s="588">
        <f t="shared" si="0"/>
        <v>727076.57758393302</v>
      </c>
      <c r="I15" s="588">
        <f t="shared" si="0"/>
        <v>727076.57758393302</v>
      </c>
      <c r="K15" s="576" t="e">
        <f>E44</f>
        <v>#VALUE!</v>
      </c>
      <c r="O15" s="581"/>
    </row>
    <row r="16" spans="1:15" ht="13.5" customHeight="1">
      <c r="A16" s="513" t="s">
        <v>2711</v>
      </c>
      <c r="C16" s="588">
        <f>IF(C$8&lt;=$H$4,($E$4/$H$4),0)+IF(C$8&lt;=$H$5,($E$5/$H$5),0)</f>
        <v>15373.333333333334</v>
      </c>
      <c r="D16" s="588">
        <f t="shared" ref="D16:I16" si="1">IF(D$8&lt;=$H$4,($E$4/$H$4),0)+IF(D$8&lt;=$H$5,($E$5/$H$5),0)</f>
        <v>15373.333333333334</v>
      </c>
      <c r="E16" s="588">
        <f t="shared" si="1"/>
        <v>15373.333333333334</v>
      </c>
      <c r="F16" s="588">
        <f t="shared" si="1"/>
        <v>15373.333333333334</v>
      </c>
      <c r="G16" s="588">
        <f t="shared" si="1"/>
        <v>15373.333333333334</v>
      </c>
      <c r="H16" s="588">
        <f t="shared" si="1"/>
        <v>15373.333333333334</v>
      </c>
      <c r="I16" s="588">
        <f t="shared" si="1"/>
        <v>15373.333333333334</v>
      </c>
      <c r="K16" s="576" t="e">
        <f>F44</f>
        <v>#VALUE!</v>
      </c>
      <c r="M16" s="513" t="s">
        <v>2715</v>
      </c>
      <c r="O16" s="581">
        <f>E3</f>
        <v>19994605.883558158</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14541531.551678661</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5453074.3318794966</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2718</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5453074.3318794966</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-5453074.3318794966</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87614.859809593356</v>
      </c>
      <c r="D29" s="583">
        <f>'Part VI-Pro Forma'!J33</f>
        <v>87888.111882298894</v>
      </c>
      <c r="E29" s="583">
        <f>'Part VI-Pro Forma'!K33</f>
        <v>87987.664700904075</v>
      </c>
      <c r="F29" s="583">
        <f>'Part VI-Pro Forma'!B65</f>
        <v>87906.098151460741</v>
      </c>
      <c r="G29" s="583">
        <f>'Part VI-Pro Forma'!C65</f>
        <v>87634.663333875054</v>
      </c>
      <c r="H29" s="583">
        <f>'Part VI-Pro Forma'!D65</f>
        <v>87162.271174669819</v>
      </c>
      <c r="I29" s="583">
        <f>'Part VI-Pro Forma'!E65</f>
        <v>86480.480667654279</v>
      </c>
      <c r="N29" s="592"/>
      <c r="O29" s="592"/>
    </row>
    <row r="30" spans="1:17" ht="13.5" customHeight="1">
      <c r="A30" s="513" t="s">
        <v>2706</v>
      </c>
      <c r="C30" s="585">
        <f>'Part VI-Pro Forma'!H40-'Part VI-Pro Forma'!I40</f>
        <v>20094.062815546524</v>
      </c>
      <c r="D30" s="585">
        <f>'Part VI-Pro Forma'!I40-'Part VI-Pro Forma'!J40</f>
        <v>21636.807789187413</v>
      </c>
      <c r="E30" s="585">
        <f>'Part VI-Pro Forma'!J40-'Part VI-Pro Forma'!K40</f>
        <v>23297.998797139619</v>
      </c>
      <c r="F30" s="960">
        <f>'Part VI-Pro Forma'!K40-'Part VI-Pro Forma'!B72</f>
        <v>25086.729671035893</v>
      </c>
      <c r="G30" s="960">
        <f>'Part VI-Pro Forma'!B72-'Part VI-Pro Forma'!C72</f>
        <v>27012.79243197944</v>
      </c>
      <c r="H30" s="960">
        <f>'Part VI-Pro Forma'!C72-'Part VI-Pro Forma'!D72</f>
        <v>29086.730894847307</v>
      </c>
      <c r="I30" s="960">
        <f>'Part VI-Pro Forma'!D72-'Part VI-Pro Forma'!E72</f>
        <v>31319.898388131056</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-1090614.8663758994</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-26565.275493177192</v>
      </c>
      <c r="D33" s="963">
        <f>'Part VI-Pro Forma'!J23</f>
        <v>-27362.233757972503</v>
      </c>
      <c r="E33" s="963">
        <f>'Part VI-Pro Forma'!K23</f>
        <v>-28183.100770711681</v>
      </c>
      <c r="F33" s="963">
        <f>'Part VI-Pro Forma'!B55</f>
        <v>-29028.593793833032</v>
      </c>
      <c r="G33" s="963">
        <f>'Part VI-Pro Forma'!C55</f>
        <v>-29899.451607648021</v>
      </c>
      <c r="H33" s="963">
        <f>'Part VI-Pro Forma'!D55</f>
        <v>-30796.435155877458</v>
      </c>
      <c r="I33" s="963">
        <f>'Part VI-Pro Forma'!E55</f>
        <v>-31720.32821055378</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727076.57758393302</v>
      </c>
      <c r="D35" s="588">
        <f t="shared" si="8"/>
        <v>727076.57758393302</v>
      </c>
      <c r="E35" s="588">
        <f t="shared" si="8"/>
        <v>727076.57758393302</v>
      </c>
      <c r="F35" s="588">
        <f t="shared" si="8"/>
        <v>727076.57758393302</v>
      </c>
      <c r="G35" s="588">
        <f t="shared" si="8"/>
        <v>727076.57758393302</v>
      </c>
      <c r="H35" s="588">
        <f t="shared" si="8"/>
        <v>727076.57758393302</v>
      </c>
      <c r="I35" s="588">
        <f t="shared" si="8"/>
        <v>727076.57758393302</v>
      </c>
    </row>
    <row r="36" spans="1:15" ht="13.5" customHeight="1">
      <c r="A36" s="513" t="s">
        <v>2711</v>
      </c>
      <c r="C36" s="583">
        <f>IF(C$28&lt;=$H$4,($E$4/$H$4),0)+IF(C$28&lt;=$H$5,($E$5/$H$5),0)</f>
        <v>15373.333333333334</v>
      </c>
      <c r="D36" s="583">
        <f t="shared" ref="D36:I36" si="9">IF(D$28&lt;=$H$4,($E$4/$H$4),0)+IF(D$28&lt;=$H$5,($E$5/$H$5),0)</f>
        <v>15373.333333333334</v>
      </c>
      <c r="E36" s="583">
        <f t="shared" si="9"/>
        <v>15373.333333333334</v>
      </c>
      <c r="F36" s="583">
        <f t="shared" si="9"/>
        <v>15373.333333333334</v>
      </c>
      <c r="G36" s="583">
        <f t="shared" si="9"/>
        <v>15373.333333333334</v>
      </c>
      <c r="H36" s="583">
        <f t="shared" si="9"/>
        <v>15373.333333333334</v>
      </c>
      <c r="I36" s="583">
        <f t="shared" si="9"/>
        <v>15373.333333333334</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1350000</v>
      </c>
      <c r="D41" s="589">
        <f>C41</f>
        <v>1350000</v>
      </c>
      <c r="E41" s="589">
        <f>D41</f>
        <v>1350000</v>
      </c>
      <c r="F41" s="589">
        <v>0</v>
      </c>
      <c r="G41" s="589">
        <v>0</v>
      </c>
      <c r="H41" s="589">
        <v>0</v>
      </c>
      <c r="I41" s="589">
        <v>0</v>
      </c>
    </row>
    <row r="42" spans="1:15" ht="13.5" customHeight="1">
      <c r="A42" s="513" t="s">
        <v>2718</v>
      </c>
      <c r="C42" s="589">
        <f>C22</f>
        <v>1350000</v>
      </c>
      <c r="D42" s="589">
        <f>C42</f>
        <v>1350000</v>
      </c>
      <c r="E42" s="589">
        <f>D42</f>
        <v>1350000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85577.486730733464</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33724.519905281719</v>
      </c>
      <c r="D50" s="961">
        <f>'Part VI-Pro Forma'!F72-'Part VI-Pro Forma'!G72</f>
        <v>36313.75902779866</v>
      </c>
      <c r="E50" s="961">
        <f>'Part VI-Pro Forma'!G72-'Part VI-Pro Forma'!H72</f>
        <v>39101.789986416232</v>
      </c>
      <c r="F50" s="961">
        <f>'Part VI-Pro Forma'!H72-'Part VI-Pro Forma'!I72</f>
        <v>42103.875254868995</v>
      </c>
      <c r="G50" s="961">
        <f>'Part VI-Pro Forma'!I72-'Part VI-Pro Forma'!J72</f>
        <v>45336.449101010337</v>
      </c>
      <c r="H50" s="961">
        <f>'Part VI-Pro Forma'!J72-'Part VI-Pro Forma'!K72</f>
        <v>48817.20755266631</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-32671.938056870396</v>
      </c>
      <c r="D53" s="963">
        <f>'Part VI-Pro Forma'!G55</f>
        <v>-33652.09619857651</v>
      </c>
      <c r="E53" s="963">
        <f>'Part VI-Pro Forma'!H55</f>
        <v>-34661.6590845338</v>
      </c>
      <c r="F53" s="963">
        <f>'Part VI-Pro Forma'!I55</f>
        <v>-35701.508857069814</v>
      </c>
      <c r="G53" s="963">
        <f>'Part VI-Pro Forma'!J55</f>
        <v>-36772.554122781912</v>
      </c>
      <c r="H53" s="963">
        <f>'Part VI-Pro Forma'!K55</f>
        <v>-37875.730746465364</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727076.57758393302</v>
      </c>
      <c r="D55" s="588">
        <f t="shared" si="14"/>
        <v>727076.57758393302</v>
      </c>
      <c r="E55" s="588">
        <f t="shared" si="14"/>
        <v>727076.57758393302</v>
      </c>
      <c r="F55" s="588">
        <f t="shared" si="14"/>
        <v>727076.57758393302</v>
      </c>
      <c r="G55" s="588">
        <f t="shared" si="14"/>
        <v>727076.57758393302</v>
      </c>
      <c r="H55" s="588">
        <f t="shared" si="14"/>
        <v>727076.57758393302</v>
      </c>
    </row>
    <row r="56" spans="1:10" ht="13.5" customHeight="1">
      <c r="A56" s="513" t="s">
        <v>2711</v>
      </c>
      <c r="C56" s="583">
        <f t="shared" ref="C56:H56" si="15">IF(C$48&lt;=$H$4,($E$4/$H$4),0)+IF(C$48&lt;=$H$5,($E$5/$H$5),0)</f>
        <v>15373.333333333334</v>
      </c>
      <c r="D56" s="583">
        <f t="shared" si="15"/>
        <v>2900</v>
      </c>
      <c r="E56" s="583">
        <f t="shared" si="15"/>
        <v>2900</v>
      </c>
      <c r="F56" s="583">
        <f t="shared" si="15"/>
        <v>2900</v>
      </c>
      <c r="G56" s="583">
        <f t="shared" si="15"/>
        <v>2900</v>
      </c>
      <c r="H56" s="583">
        <f t="shared" si="15"/>
        <v>2900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Flats at Lake View II</v>
      </c>
      <c r="B1" s="4675"/>
      <c r="C1" s="4675"/>
      <c r="D1" s="4675"/>
      <c r="E1" s="4675"/>
      <c r="F1" s="4675"/>
      <c r="G1" s="4675"/>
      <c r="H1" s="4675"/>
      <c r="I1" s="4675"/>
      <c r="J1" s="4675"/>
      <c r="K1" s="4675"/>
    </row>
    <row r="2" spans="1:11" s="438" customFormat="1" ht="17.649999999999999"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3962</v>
      </c>
      <c r="B4" s="4676"/>
      <c r="C4" s="1391"/>
      <c r="D4" s="4676" t="s">
        <v>3963</v>
      </c>
      <c r="E4" s="4676"/>
      <c r="F4" s="520"/>
      <c r="G4" s="4676" t="s">
        <v>3964</v>
      </c>
      <c r="H4" s="4676"/>
      <c r="I4" s="520"/>
      <c r="J4" s="4676" t="s">
        <v>4075</v>
      </c>
      <c r="K4" s="4676"/>
    </row>
    <row r="5" spans="1:11" ht="25.9" customHeight="1">
      <c r="A5" s="4677" t="str">
        <f>'Part II-Sources of Funds'!E40</f>
        <v>Specialty Finance Group</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18586.741923548841</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18586.741923548841</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18586.741923548841</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18586.741923548841</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18586.741923548841</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18586.741923548841</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18586.741923548841</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18586.741923548841</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18586.741923548841</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18586.741923548841</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18586.741923548841</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18586.741923548841</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18586.741923548841</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18586.741923548841</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18586.741923548841</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18586.741923548841</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18586.741923548841</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18586.741923548841</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18586.741923548841</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18586.741923548841</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18586.741923548841</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18586.741923548841</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18586.741923548841</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18586.741923548841</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18586.741923548841</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18586.741923548841</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18586.741923548841</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18586.741923548841</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18586.741923548841</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18586.741923548841</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18586.741923548841</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18586.741923548841</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18586.741923548841</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18586.741923548841</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18586.741923548841</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1" t="str">
        <f>CONCATENATE('Sensitivity Analysis'!E8,"  ",'Sensitivity Analysis'!C8)</f>
        <v>2024-0  Flats at Lake View II</v>
      </c>
      <c r="B1" s="4681"/>
      <c r="C1" s="4681"/>
      <c r="D1" s="4681"/>
      <c r="E1" s="4681"/>
      <c r="F1" s="4681"/>
      <c r="G1" s="4681"/>
      <c r="H1" s="4681"/>
    </row>
    <row r="3" spans="1:11" ht="12" customHeight="1">
      <c r="A3" s="4682" t="s">
        <v>3020</v>
      </c>
      <c r="B3" s="4682"/>
      <c r="C3" s="4682"/>
      <c r="D3" s="4682"/>
      <c r="E3" s="4682"/>
      <c r="F3" s="4682"/>
      <c r="G3" s="4682"/>
      <c r="H3" s="4682"/>
      <c r="I3" s="1006"/>
      <c r="J3" s="4684" t="s">
        <v>3370</v>
      </c>
      <c r="K3" s="4684"/>
    </row>
    <row r="4" spans="1:11">
      <c r="J4" s="4684"/>
      <c r="K4" s="4684"/>
    </row>
    <row r="5" spans="1:11" ht="12" customHeight="1">
      <c r="A5" s="431">
        <v>1</v>
      </c>
      <c r="C5" s="431" t="s">
        <v>2730</v>
      </c>
      <c r="E5" s="608">
        <f>'Sensitivity Analysis'!H9</f>
        <v>0</v>
      </c>
      <c r="J5" s="4684"/>
      <c r="K5" s="4684"/>
    </row>
    <row r="6" spans="1:11" ht="3" customHeight="1">
      <c r="H6" s="599"/>
      <c r="J6" s="4684"/>
      <c r="K6" s="4684"/>
    </row>
    <row r="7" spans="1:11" ht="12" customHeight="1">
      <c r="A7" s="431">
        <v>2</v>
      </c>
      <c r="C7" s="431" t="s">
        <v>2731</v>
      </c>
      <c r="E7" s="4680"/>
      <c r="F7" s="4680"/>
      <c r="G7" s="4680"/>
      <c r="H7" s="4680"/>
      <c r="J7" s="4684"/>
      <c r="K7" s="4684"/>
    </row>
    <row r="8" spans="1:11" ht="12" customHeight="1">
      <c r="E8" s="4680"/>
      <c r="F8" s="4680"/>
      <c r="G8" s="4680"/>
      <c r="H8" s="4680"/>
      <c r="J8" s="4684"/>
      <c r="K8" s="4684"/>
    </row>
    <row r="9" spans="1:11" ht="12" customHeight="1">
      <c r="C9" s="431" t="s">
        <v>2732</v>
      </c>
      <c r="E9" s="4683"/>
      <c r="F9" s="4683"/>
      <c r="J9" s="4684"/>
      <c r="K9" s="4684"/>
    </row>
    <row r="10" spans="1:11" ht="12" customHeight="1">
      <c r="C10" s="431" t="s">
        <v>2733</v>
      </c>
      <c r="E10" s="4680"/>
      <c r="F10" s="4680"/>
      <c r="G10" s="4680"/>
      <c r="H10" s="4680"/>
    </row>
    <row r="11" spans="1:11" ht="12" customHeight="1">
      <c r="C11" s="431" t="s">
        <v>3375</v>
      </c>
      <c r="E11" s="4680"/>
      <c r="F11" s="4680"/>
      <c r="G11" s="4680"/>
      <c r="H11" s="4680"/>
    </row>
    <row r="12" spans="1:11" ht="12" customHeight="1">
      <c r="C12" s="431" t="s">
        <v>3371</v>
      </c>
      <c r="E12" s="1900"/>
    </row>
    <row r="13" spans="1:11" ht="12" customHeight="1">
      <c r="C13" s="431" t="s">
        <v>3374</v>
      </c>
      <c r="E13" s="1900"/>
    </row>
    <row r="14" spans="1:11" ht="3" customHeight="1"/>
    <row r="15" spans="1:11" ht="12" customHeight="1">
      <c r="A15" s="431">
        <v>3</v>
      </c>
      <c r="C15" s="431" t="s">
        <v>2734</v>
      </c>
      <c r="E15" s="608" t="str">
        <f>'Sensitivity Analysis'!C8</f>
        <v>Flats at Lake View II</v>
      </c>
    </row>
    <row r="16" spans="1:11" ht="12" customHeight="1">
      <c r="C16" s="431" t="s">
        <v>2735</v>
      </c>
      <c r="E16" s="4680"/>
      <c r="F16" s="4680"/>
      <c r="G16" s="4680"/>
      <c r="H16" s="4680"/>
    </row>
    <row r="17" spans="1:8" ht="12" customHeight="1">
      <c r="E17" s="437" t="str">
        <f>'Part I-Project Identification'!F27</f>
        <v>Warner Robins</v>
      </c>
      <c r="F17" s="598" t="s">
        <v>790</v>
      </c>
      <c r="G17" s="4679" t="s">
        <v>4641</v>
      </c>
      <c r="H17" s="4679"/>
    </row>
    <row r="18" spans="1:8" ht="12" customHeight="1">
      <c r="E18" s="608" t="str">
        <f>'Part I-Project Identification'!J27</f>
        <v>Houston</v>
      </c>
    </row>
    <row r="19" spans="1:8" ht="3" customHeight="1"/>
    <row r="20" spans="1:8" ht="12" customHeight="1">
      <c r="A20" s="431">
        <v>4</v>
      </c>
      <c r="C20" s="431" t="s">
        <v>2736</v>
      </c>
      <c r="E20" s="4680"/>
      <c r="F20" s="4680"/>
      <c r="G20" s="4680"/>
      <c r="H20" s="4680"/>
    </row>
    <row r="21" spans="1:8" ht="12" customHeight="1">
      <c r="C21" s="431" t="s">
        <v>2737</v>
      </c>
      <c r="E21" s="4680"/>
      <c r="F21" s="4680"/>
      <c r="G21" s="4680"/>
      <c r="H21" s="4680"/>
    </row>
    <row r="22" spans="1:8" ht="12" customHeight="1">
      <c r="E22" s="4680"/>
      <c r="F22" s="4680"/>
      <c r="G22" s="4680"/>
      <c r="H22" s="4680"/>
    </row>
    <row r="23" spans="1:8" ht="12" customHeight="1">
      <c r="C23" s="431" t="s">
        <v>3371</v>
      </c>
      <c r="E23" s="1900"/>
    </row>
    <row r="24" spans="1:8" ht="12" customHeight="1">
      <c r="C24" s="431" t="s">
        <v>3374</v>
      </c>
      <c r="E24" s="1900"/>
    </row>
    <row r="25" spans="1:8" ht="12" customHeight="1">
      <c r="C25" s="431" t="s">
        <v>3375</v>
      </c>
      <c r="E25" s="4680"/>
      <c r="F25" s="4680"/>
      <c r="G25" s="4680"/>
      <c r="H25" s="4680"/>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18500000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192</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0"/>
      <c r="F48" s="4680"/>
      <c r="G48" s="4680"/>
      <c r="H48" s="4680"/>
    </row>
    <row r="49" spans="1:8" ht="3" customHeight="1">
      <c r="E49" s="608"/>
    </row>
    <row r="50" spans="1:8" ht="12" customHeight="1">
      <c r="A50" s="431">
        <v>15</v>
      </c>
      <c r="C50" s="431" t="s">
        <v>3377</v>
      </c>
      <c r="E50" s="4680"/>
      <c r="F50" s="4680"/>
      <c r="G50" s="4680"/>
      <c r="H50" s="4680"/>
    </row>
    <row r="51" spans="1:8" ht="12" customHeight="1">
      <c r="C51" s="431" t="s">
        <v>2754</v>
      </c>
      <c r="E51" s="4680"/>
      <c r="F51" s="4680"/>
      <c r="G51" s="4680"/>
      <c r="H51" s="4680"/>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3376</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2321286.7810712112</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372000</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125000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5" t="s">
        <v>2893</v>
      </c>
      <c r="B1" s="4695"/>
      <c r="C1" s="4695"/>
      <c r="D1" s="4695"/>
      <c r="E1" s="4695"/>
      <c r="F1" s="4695"/>
      <c r="G1" s="4695"/>
      <c r="H1" s="4695"/>
      <c r="I1" s="4695"/>
      <c r="J1" s="4695"/>
    </row>
    <row r="2" spans="1:13" ht="15">
      <c r="A2" s="4695" t="str">
        <f>'Sensitivity Analysis'!E8&amp;"  "&amp;'Sensitivity Analysis'!C8</f>
        <v>2024-0  Flats at Lake View II</v>
      </c>
      <c r="B2" s="4695"/>
      <c r="C2" s="4695"/>
      <c r="D2" s="4695"/>
      <c r="E2" s="4695"/>
      <c r="F2" s="4695"/>
      <c r="G2" s="4695"/>
      <c r="H2" s="4695"/>
      <c r="I2" s="4695"/>
      <c r="J2" s="4695"/>
    </row>
    <row r="3" spans="1:13" ht="6" customHeight="1">
      <c r="K3" s="4684" t="s">
        <v>3370</v>
      </c>
      <c r="L3" s="4684"/>
      <c r="M3" s="4684"/>
    </row>
    <row r="4" spans="1:13" ht="12" customHeight="1">
      <c r="A4" s="601" t="s">
        <v>2769</v>
      </c>
      <c r="K4" s="4684"/>
      <c r="L4" s="4684"/>
      <c r="M4" s="4684"/>
    </row>
    <row r="5" spans="1:13" ht="12" customHeight="1">
      <c r="A5" s="431" t="s">
        <v>2770</v>
      </c>
      <c r="C5" s="549" t="str">
        <f>'Subsidy Layering Memo'!D6</f>
        <v>(Underwriter)</v>
      </c>
      <c r="I5" s="549"/>
      <c r="K5" s="4684"/>
      <c r="L5" s="4684"/>
      <c r="M5" s="4684"/>
    </row>
    <row r="6" spans="1:13" ht="6" customHeight="1">
      <c r="C6" s="549"/>
      <c r="D6" s="549"/>
      <c r="I6" s="549"/>
      <c r="K6" s="4684"/>
      <c r="L6" s="4684"/>
      <c r="M6" s="4684"/>
    </row>
    <row r="7" spans="1:13" ht="12" customHeight="1">
      <c r="A7" s="601" t="s">
        <v>2771</v>
      </c>
      <c r="C7" s="549"/>
      <c r="D7" s="549"/>
      <c r="I7" s="549"/>
      <c r="K7" s="4684"/>
      <c r="L7" s="4684"/>
      <c r="M7" s="4684"/>
    </row>
    <row r="8" spans="1:13" ht="12" customHeight="1">
      <c r="A8" s="431" t="s">
        <v>2772</v>
      </c>
      <c r="C8" s="549">
        <f>'Sensitivity Analysis'!$H$9</f>
        <v>0</v>
      </c>
      <c r="I8" s="549"/>
      <c r="K8" s="4684"/>
      <c r="L8" s="4684"/>
      <c r="M8" s="4684"/>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5"/>
      <c r="E13" s="4685"/>
      <c r="F13" s="4685"/>
      <c r="G13" s="4685"/>
      <c r="H13" s="4685"/>
      <c r="I13" s="4685"/>
      <c r="J13" s="4685"/>
    </row>
    <row r="14" spans="1:13" ht="3" customHeight="1">
      <c r="G14" s="549"/>
      <c r="H14" s="549"/>
      <c r="I14" s="549"/>
    </row>
    <row r="15" spans="1:13" ht="12" customHeight="1">
      <c r="A15" s="431" t="s">
        <v>2775</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Flats at Lake View II</v>
      </c>
      <c r="I28" s="549"/>
    </row>
    <row r="29" spans="1:9" ht="3" customHeight="1">
      <c r="C29" s="602"/>
      <c r="I29" s="549"/>
    </row>
    <row r="30" spans="1:9" ht="12" customHeight="1">
      <c r="A30" s="431" t="s">
        <v>2782</v>
      </c>
      <c r="C30" s="602">
        <f>'Preview term'!E16</f>
        <v>0</v>
      </c>
      <c r="I30" s="549"/>
    </row>
    <row r="31" spans="1:9">
      <c r="C31" s="549" t="str">
        <f>'Preview term'!E17</f>
        <v>Warner Robins</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4063</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2789</v>
      </c>
      <c r="C42" s="4696" t="s">
        <v>3024</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2790</v>
      </c>
      <c r="C44" s="503" t="str">
        <f>'Part I-Project Identification'!J27</f>
        <v>Houston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2794</v>
      </c>
      <c r="B53" s="605"/>
      <c r="C53" s="607" t="s">
        <v>2795</v>
      </c>
      <c r="D53" s="607" t="s">
        <v>3025</v>
      </c>
      <c r="E53" s="4688"/>
      <c r="F53" s="4688"/>
      <c r="G53" s="4688"/>
      <c r="H53" s="4688"/>
      <c r="I53" s="4688"/>
      <c r="J53" s="4688"/>
    </row>
    <row r="54" spans="1:10" ht="12" customHeight="1">
      <c r="A54" s="605"/>
      <c r="B54" s="605"/>
      <c r="C54" s="605"/>
      <c r="D54" s="607" t="s">
        <v>3026</v>
      </c>
      <c r="E54" s="4689"/>
      <c r="F54" s="4689"/>
      <c r="G54" s="4689"/>
      <c r="H54" s="4689"/>
      <c r="I54" s="4689"/>
      <c r="J54" s="4689"/>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18500000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5"/>
      <c r="E69" s="4685"/>
      <c r="F69" s="4685"/>
      <c r="G69" s="4685"/>
      <c r="H69" s="4685"/>
      <c r="I69" s="4685"/>
      <c r="J69" s="4685"/>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192</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2321286.7810712112</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Community Capital, LLC</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2905</v>
      </c>
      <c r="D97" s="549" t="s">
        <v>2822</v>
      </c>
      <c r="E97" s="608" t="str">
        <f>'Part II-Sources of Funds'!E40</f>
        <v>Specialty Finance Group</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1"/>
      <c r="E107" s="4691"/>
      <c r="F107" s="4691"/>
      <c r="G107" s="4691"/>
      <c r="H107" s="4691"/>
      <c r="I107" s="4691"/>
      <c r="J107" s="4692"/>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4" t="s">
        <v>4067</v>
      </c>
      <c r="F120" s="4694"/>
      <c r="G120" s="4694"/>
      <c r="H120" s="4694"/>
      <c r="I120" s="4694"/>
      <c r="J120" s="4694"/>
    </row>
    <row r="121" spans="1:10" ht="12" customHeight="1">
      <c r="C121" s="549" t="s">
        <v>2833</v>
      </c>
      <c r="D121" s="980"/>
      <c r="E121" s="4694"/>
      <c r="F121" s="4694"/>
      <c r="G121" s="4694"/>
      <c r="H121" s="4694"/>
      <c r="I121" s="4694"/>
      <c r="J121" s="4694"/>
    </row>
    <row r="122" spans="1:10" ht="12" customHeight="1">
      <c r="C122" s="549" t="s">
        <v>2834</v>
      </c>
      <c r="D122" s="980"/>
      <c r="E122" s="4694"/>
      <c r="F122" s="4694"/>
      <c r="G122" s="4694"/>
      <c r="H122" s="4694"/>
      <c r="I122" s="4694"/>
      <c r="J122" s="4694"/>
    </row>
    <row r="123" spans="1:10" ht="12" customHeight="1">
      <c r="C123" s="549" t="s">
        <v>2834</v>
      </c>
      <c r="D123" s="980"/>
      <c r="E123" s="4694"/>
      <c r="F123" s="4694"/>
      <c r="G123" s="4694"/>
      <c r="H123" s="4694"/>
      <c r="I123" s="4694"/>
      <c r="J123" s="4694"/>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910118.03447663411</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5"/>
      <c r="F166" s="4685"/>
      <c r="G166" s="4685"/>
      <c r="I166" s="549"/>
    </row>
    <row r="167" spans="1:9" ht="3" customHeight="1">
      <c r="E167" s="549"/>
      <c r="G167" s="549"/>
      <c r="I167" s="549"/>
    </row>
    <row r="168" spans="1:9" ht="12" customHeight="1">
      <c r="A168" s="431" t="s">
        <v>2857</v>
      </c>
      <c r="C168" s="431" t="s">
        <v>2858</v>
      </c>
      <c r="E168" s="620">
        <f>'Preview term'!F74</f>
        <v>372000</v>
      </c>
      <c r="G168" s="549"/>
      <c r="I168" s="549"/>
    </row>
    <row r="169" spans="1:9" ht="12" customHeight="1">
      <c r="C169" s="431" t="s">
        <v>3031</v>
      </c>
      <c r="E169" s="4685"/>
      <c r="F169" s="4685"/>
      <c r="G169" s="4685"/>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21600</v>
      </c>
      <c r="F174" s="549" t="s">
        <v>2862</v>
      </c>
    </row>
    <row r="175" spans="1:9">
      <c r="E175" s="620">
        <f>E174/12</f>
        <v>1800</v>
      </c>
      <c r="F175" s="549" t="s">
        <v>2728</v>
      </c>
    </row>
    <row r="176" spans="1:9" ht="12" customHeight="1">
      <c r="C176" s="431" t="s">
        <v>3032</v>
      </c>
      <c r="E176" s="4685"/>
      <c r="F176" s="4685"/>
      <c r="G176" s="4685"/>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5"/>
      <c r="G181" s="4685"/>
      <c r="H181" s="4685"/>
      <c r="I181" s="4685"/>
      <c r="J181" s="4685"/>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125000</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3">
        <f>'Part VII-Threshold Criteria OLD'!E372</f>
        <v>0</v>
      </c>
      <c r="G199" s="4693"/>
      <c r="H199" s="4693"/>
      <c r="I199" s="4693"/>
      <c r="J199" s="4693"/>
    </row>
    <row r="200" spans="1:10" ht="9" customHeight="1">
      <c r="G200" s="549"/>
      <c r="H200" s="549"/>
      <c r="I200" s="549"/>
    </row>
    <row r="201" spans="1:10" ht="12" customHeight="1">
      <c r="A201" s="622" t="s">
        <v>2894</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4054</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4057</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Flats at Lake View II</v>
      </c>
      <c r="E3" s="4024"/>
      <c r="F3" s="4024"/>
      <c r="G3" s="4024"/>
      <c r="H3" s="4024"/>
      <c r="I3" s="4024"/>
      <c r="J3" s="4701" t="s">
        <v>3842</v>
      </c>
      <c r="K3" s="4702"/>
    </row>
    <row r="4" spans="1:11" ht="15" customHeight="1">
      <c r="A4" s="1269" t="s">
        <v>3840</v>
      </c>
      <c r="B4" s="1270"/>
      <c r="C4" s="1271"/>
      <c r="D4" s="4697">
        <f>'Preview term'!$E$16</f>
        <v>0</v>
      </c>
      <c r="E4" s="4698"/>
      <c r="F4" s="4698"/>
      <c r="G4" s="4698"/>
      <c r="H4" s="4698"/>
      <c r="I4" s="4698"/>
      <c r="J4" s="4029" t="s">
        <v>3881</v>
      </c>
      <c r="K4" s="4030"/>
    </row>
    <row r="5" spans="1:11" ht="15" customHeight="1" thickBot="1">
      <c r="A5" s="1272" t="s">
        <v>3841</v>
      </c>
      <c r="B5" s="1273"/>
      <c r="C5" s="1274"/>
      <c r="D5" s="4699"/>
      <c r="E5" s="4700"/>
      <c r="F5" s="4700"/>
      <c r="G5" s="4700"/>
      <c r="H5" s="4700"/>
      <c r="I5" s="4700"/>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302">
        <v>1</v>
      </c>
      <c r="D8" s="1289" t="s">
        <v>3844</v>
      </c>
      <c r="E8" s="1289"/>
      <c r="F8" s="1289"/>
      <c r="G8" s="1289"/>
      <c r="H8" s="1289"/>
      <c r="I8" s="1289"/>
      <c r="J8" s="4724"/>
      <c r="K8" s="4725"/>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302">
        <v>2</v>
      </c>
      <c r="D11" s="1289" t="s">
        <v>3846</v>
      </c>
      <c r="E11" s="1291"/>
      <c r="F11" s="1291"/>
      <c r="G11" s="1291"/>
      <c r="H11" s="1291"/>
      <c r="I11" s="1291"/>
      <c r="J11" s="4722"/>
      <c r="K11" s="4723"/>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303">
        <v>3</v>
      </c>
      <c r="D14" s="1293" t="s">
        <v>3848</v>
      </c>
      <c r="E14" s="1293"/>
      <c r="F14" s="1293"/>
      <c r="G14" s="1293"/>
      <c r="H14" s="1293"/>
      <c r="I14" s="1293"/>
      <c r="J14" s="4720"/>
      <c r="K14" s="4721"/>
    </row>
    <row r="15" spans="1:11" ht="14.25" customHeight="1">
      <c r="A15" s="1270"/>
      <c r="B15" s="1270"/>
      <c r="C15" s="1304">
        <v>4</v>
      </c>
      <c r="D15" s="1270" t="s">
        <v>3849</v>
      </c>
      <c r="E15" s="1270"/>
      <c r="F15" s="1270"/>
      <c r="G15" s="1270"/>
      <c r="H15" s="1270"/>
      <c r="I15" s="1270"/>
      <c r="J15" s="4718"/>
      <c r="K15" s="4719"/>
    </row>
    <row r="16" spans="1:11" ht="14.25" customHeight="1">
      <c r="A16" s="1270"/>
      <c r="B16" s="1270"/>
      <c r="C16" s="1304">
        <v>5</v>
      </c>
      <c r="D16" s="1270" t="s">
        <v>3850</v>
      </c>
      <c r="E16" s="1270"/>
      <c r="F16" s="1270"/>
      <c r="G16" s="1270"/>
      <c r="H16" s="1270"/>
      <c r="I16" s="1270"/>
      <c r="J16" s="4718"/>
      <c r="K16" s="4719"/>
    </row>
    <row r="17" spans="1:13" ht="14.25" customHeight="1">
      <c r="A17" s="1270"/>
      <c r="B17" s="1270"/>
      <c r="C17" s="1305">
        <v>6</v>
      </c>
      <c r="D17" s="1273" t="s">
        <v>3851</v>
      </c>
      <c r="E17" s="1273"/>
      <c r="F17" s="1273"/>
      <c r="G17" s="1273"/>
      <c r="H17" s="1273"/>
      <c r="I17" s="1273"/>
      <c r="J17" s="4726"/>
      <c r="K17" s="4727"/>
    </row>
    <row r="18" spans="1:13" ht="7.15" customHeight="1">
      <c r="A18" s="4039"/>
      <c r="B18" s="4039"/>
      <c r="C18" s="4039"/>
      <c r="D18" s="4040"/>
      <c r="E18" s="4040"/>
      <c r="F18" s="4040"/>
      <c r="G18" s="4040"/>
      <c r="H18" s="4040"/>
      <c r="I18" s="4040"/>
      <c r="J18" s="4040"/>
      <c r="K18" s="1292"/>
    </row>
    <row r="19" spans="1:13" ht="14.25" customHeight="1">
      <c r="A19" s="1270"/>
      <c r="B19" s="1270"/>
      <c r="C19" s="1303">
        <v>7</v>
      </c>
      <c r="D19" s="1293" t="s">
        <v>3852</v>
      </c>
      <c r="E19" s="1293"/>
      <c r="F19" s="1293"/>
      <c r="G19" s="1293"/>
      <c r="H19" s="1293"/>
      <c r="I19" s="1293"/>
      <c r="J19" s="4035" t="str">
        <f>IF(J17="No",J14-J15,IF(J17="Yes",J14-J15-J16,"Error"))</f>
        <v>Error</v>
      </c>
      <c r="K19" s="4036"/>
    </row>
    <row r="20" spans="1:13" ht="14.25" customHeight="1">
      <c r="A20" s="1270"/>
      <c r="B20" s="1270"/>
      <c r="C20" s="130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30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713" t="s">
        <v>3842</v>
      </c>
      <c r="C31" s="4713"/>
      <c r="D31" s="4713"/>
      <c r="E31" s="4713"/>
      <c r="F31" s="4713"/>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709" t="s">
        <v>3868</v>
      </c>
      <c r="H57" s="4710"/>
      <c r="I57" s="4081" t="s">
        <v>3882</v>
      </c>
      <c r="J57" s="4082"/>
      <c r="K57" s="4085"/>
    </row>
    <row r="58" spans="1:13" ht="15" customHeight="1">
      <c r="A58" s="1388"/>
      <c r="B58" s="1318"/>
      <c r="C58" s="1296">
        <f>SUMIF(C33:C51, "0", H33:H51)</f>
        <v>0</v>
      </c>
      <c r="D58" s="1399">
        <f t="shared" ref="D58:D63" si="4">ROUNDUP(C58*1.1,0)</f>
        <v>0</v>
      </c>
      <c r="E58" s="4087" t="s">
        <v>3869</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2455</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2456</v>
      </c>
      <c r="F60" s="4093"/>
      <c r="G60" s="4703" t="e">
        <f>#REF!</f>
        <v>#REF!</v>
      </c>
      <c r="H60" s="4704"/>
      <c r="I60" s="4094" t="e">
        <f t="shared" si="5"/>
        <v>#REF!</v>
      </c>
      <c r="J60" s="4094"/>
      <c r="K60" s="4086"/>
    </row>
    <row r="61" spans="1:13">
      <c r="A61" s="1388"/>
      <c r="B61" s="1318"/>
      <c r="C61" s="1297">
        <f>SUMIF(C33:C51, "3", H33:H51)</f>
        <v>0</v>
      </c>
      <c r="D61" s="1400">
        <f t="shared" si="4"/>
        <v>0</v>
      </c>
      <c r="E61" s="4092" t="s">
        <v>2459</v>
      </c>
      <c r="F61" s="4093"/>
      <c r="G61" s="4703" t="e">
        <f>#REF!</f>
        <v>#REF!</v>
      </c>
      <c r="H61" s="4704"/>
      <c r="I61" s="4094" t="e">
        <f t="shared" si="5"/>
        <v>#REF!</v>
      </c>
      <c r="J61" s="4094"/>
      <c r="K61" s="4086"/>
    </row>
    <row r="62" spans="1:13">
      <c r="A62" s="1388"/>
      <c r="B62" s="1318"/>
      <c r="C62" s="1297">
        <f>SUMIF(C33:C51, "4", H33:H51)</f>
        <v>0</v>
      </c>
      <c r="D62" s="1400">
        <f t="shared" si="4"/>
        <v>0</v>
      </c>
      <c r="E62" s="4092" t="s">
        <v>3870</v>
      </c>
      <c r="F62" s="4093"/>
      <c r="G62" s="4703" t="e">
        <f>#REF!</f>
        <v>#REF!</v>
      </c>
      <c r="H62" s="4704"/>
      <c r="I62" s="4094" t="e">
        <f t="shared" si="5"/>
        <v>#REF!</v>
      </c>
      <c r="J62" s="4094"/>
      <c r="K62" s="4086"/>
    </row>
    <row r="63" spans="1:13">
      <c r="A63" s="1397"/>
      <c r="B63" s="1319"/>
      <c r="C63" s="1298">
        <f>SUMIF(C33:C51, "5", H33:H51)</f>
        <v>0</v>
      </c>
      <c r="D63" s="1401">
        <f t="shared" si="4"/>
        <v>0</v>
      </c>
      <c r="E63" s="4096" t="s">
        <v>3871</v>
      </c>
      <c r="F63" s="4097"/>
      <c r="G63" s="4714" t="e">
        <f>#REF!</f>
        <v>#REF!</v>
      </c>
      <c r="H63" s="4715"/>
      <c r="I63" s="4098" t="e">
        <f t="shared" si="5"/>
        <v>#REF!</v>
      </c>
      <c r="J63" s="4098"/>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Flats at Lake View II</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69085.05</v>
      </c>
      <c r="K4" s="990" t="s">
        <v>3544</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0" t="s">
        <v>2908</v>
      </c>
      <c r="C11" s="4730"/>
      <c r="D11" s="4730"/>
      <c r="E11" s="4730"/>
      <c r="F11" s="4730"/>
      <c r="G11" s="4731">
        <f>'Part II-Sources of Funds'!I51+'Part II-Sources of Funds'!I52</f>
        <v>19573785</v>
      </c>
      <c r="H11" s="4731"/>
    </row>
    <row r="12" spans="1:11" ht="1.5" customHeight="1">
      <c r="G12" s="605"/>
      <c r="H12" s="605"/>
    </row>
    <row r="13" spans="1:11" ht="26.25" customHeight="1">
      <c r="A13" s="624" t="s">
        <v>1838</v>
      </c>
      <c r="B13" s="4730" t="s">
        <v>2909</v>
      </c>
      <c r="C13" s="4730"/>
      <c r="D13" s="4730"/>
      <c r="E13" s="4730"/>
      <c r="F13" s="4730"/>
      <c r="G13" s="4732" t="s">
        <v>2804</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2912</v>
      </c>
      <c r="G16" s="4733" t="s">
        <v>2644</v>
      </c>
      <c r="H16" s="4733"/>
    </row>
    <row r="17" spans="1:8" ht="1.5" customHeight="1">
      <c r="G17" s="608"/>
    </row>
    <row r="18" spans="1:8" ht="12" customHeight="1">
      <c r="A18" s="624" t="s">
        <v>1957</v>
      </c>
      <c r="B18" s="605" t="s">
        <v>2910</v>
      </c>
      <c r="C18" s="624"/>
      <c r="D18" s="624"/>
      <c r="E18" s="624"/>
      <c r="G18" s="4696" t="s">
        <v>2507</v>
      </c>
      <c r="H18" s="4696"/>
    </row>
    <row r="19" spans="1:8" ht="12" hidden="1" customHeight="1">
      <c r="B19" s="4696"/>
      <c r="C19" s="4696"/>
      <c r="D19" s="4696"/>
      <c r="E19" s="4696"/>
      <c r="F19" s="4696"/>
      <c r="G19" s="4696"/>
      <c r="H19" s="4696"/>
    </row>
    <row r="20" spans="1:8" ht="13.5" customHeight="1"/>
    <row r="21" spans="1:8" ht="12" customHeight="1">
      <c r="A21" s="549" t="s">
        <v>2877</v>
      </c>
    </row>
    <row r="22" spans="1:8" ht="3" customHeight="1"/>
    <row r="23" spans="1:8" ht="24.75" customHeight="1">
      <c r="A23" s="4734" t="s">
        <v>3950</v>
      </c>
      <c r="B23" s="4734"/>
      <c r="C23" s="4734"/>
      <c r="D23" s="4734"/>
      <c r="E23" s="4734"/>
      <c r="F23" s="4734"/>
      <c r="G23" s="4734"/>
      <c r="H23" s="4734"/>
    </row>
    <row r="24" spans="1:8" ht="9" customHeight="1" thickBot="1">
      <c r="A24" s="600"/>
    </row>
    <row r="25" spans="1:8" ht="16.149999999999999" customHeight="1" thickBot="1">
      <c r="A25" s="4735">
        <v>20</v>
      </c>
      <c r="B25" s="4736"/>
      <c r="C25" s="1387" t="s">
        <v>974</v>
      </c>
    </row>
    <row r="26" spans="1:8" ht="9" customHeight="1">
      <c r="A26" s="600"/>
    </row>
    <row r="27" spans="1:8" ht="28.15" customHeight="1">
      <c r="A27" s="4728" t="s">
        <v>3955</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3948</v>
      </c>
      <c r="D29" s="626" t="s">
        <v>3949</v>
      </c>
    </row>
    <row r="30" spans="1:8" ht="1.9"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3953</v>
      </c>
      <c r="E33" s="4728" t="s">
        <v>3037</v>
      </c>
      <c r="F33" s="4728"/>
      <c r="G33" s="4728"/>
      <c r="H33" s="4728"/>
    </row>
    <row r="34" spans="1:11" ht="12.75" customHeight="1">
      <c r="C34" s="1386"/>
      <c r="D34" s="1384" t="s">
        <v>2917</v>
      </c>
      <c r="E34" s="4729" t="s">
        <v>3038</v>
      </c>
      <c r="F34" s="4729"/>
      <c r="G34" s="4729"/>
      <c r="H34" s="4729"/>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3953</v>
      </c>
      <c r="E38" s="4728" t="s">
        <v>3037</v>
      </c>
      <c r="F38" s="4728"/>
      <c r="G38" s="4728"/>
      <c r="H38" s="4728"/>
    </row>
    <row r="39" spans="1:11" ht="12.75" customHeight="1">
      <c r="C39" s="1386"/>
      <c r="D39" s="1384" t="s">
        <v>2917</v>
      </c>
      <c r="E39" s="4729" t="s">
        <v>3038</v>
      </c>
      <c r="F39" s="4729"/>
      <c r="G39" s="4729"/>
      <c r="H39" s="4729"/>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3953</v>
      </c>
      <c r="E43" s="4728" t="s">
        <v>3037</v>
      </c>
      <c r="F43" s="4728"/>
      <c r="G43" s="4728"/>
      <c r="H43" s="4728"/>
    </row>
    <row r="44" spans="1:11" ht="12.75" customHeight="1">
      <c r="C44" s="1386"/>
      <c r="D44" s="1384" t="s">
        <v>2917</v>
      </c>
      <c r="E44" s="4729" t="s">
        <v>3038</v>
      </c>
      <c r="F44" s="4729"/>
      <c r="G44" s="4729"/>
      <c r="H44" s="4729"/>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3953</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3953</v>
      </c>
      <c r="E55" s="4728" t="s">
        <v>3037</v>
      </c>
      <c r="F55" s="4728"/>
      <c r="G55" s="4728"/>
      <c r="H55" s="4728"/>
    </row>
    <row r="56" spans="1:11" ht="12.75" customHeight="1">
      <c r="C56" s="1386"/>
      <c r="D56" s="1384" t="s">
        <v>2917</v>
      </c>
      <c r="E56" s="4729" t="s">
        <v>3038</v>
      </c>
      <c r="F56" s="4729"/>
      <c r="G56" s="4729"/>
      <c r="H56" s="4729"/>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3953</v>
      </c>
      <c r="E60" s="4728" t="s">
        <v>3037</v>
      </c>
      <c r="F60" s="4728"/>
      <c r="G60" s="4728"/>
      <c r="H60" s="4728"/>
    </row>
    <row r="61" spans="1:11" ht="12.75" customHeight="1">
      <c r="C61" s="1386"/>
      <c r="D61" s="1384" t="s">
        <v>2917</v>
      </c>
      <c r="E61" s="4729" t="s">
        <v>3038</v>
      </c>
      <c r="F61" s="4729"/>
      <c r="G61" s="4729"/>
      <c r="H61" s="4729"/>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3953</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3953</v>
      </c>
      <c r="E72" s="4728" t="s">
        <v>3037</v>
      </c>
      <c r="F72" s="4728"/>
      <c r="G72" s="4728"/>
      <c r="H72" s="4728"/>
    </row>
    <row r="73" spans="1:8" ht="12.75" customHeight="1">
      <c r="C73" s="1386"/>
      <c r="D73" s="1384" t="s">
        <v>2917</v>
      </c>
      <c r="E73" s="4729" t="s">
        <v>3038</v>
      </c>
      <c r="F73" s="4729"/>
      <c r="G73" s="4729"/>
      <c r="H73" s="4729"/>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3953</v>
      </c>
      <c r="E77" s="4728" t="s">
        <v>3037</v>
      </c>
      <c r="F77" s="4728"/>
      <c r="G77" s="4728"/>
      <c r="H77" s="4728"/>
    </row>
    <row r="78" spans="1:8" ht="12.75" customHeight="1">
      <c r="C78" s="1386"/>
      <c r="D78" s="1384" t="s">
        <v>2917</v>
      </c>
      <c r="E78" s="4729" t="s">
        <v>3038</v>
      </c>
      <c r="F78" s="4729"/>
      <c r="G78" s="4729"/>
      <c r="H78" s="4729"/>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3953</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3953</v>
      </c>
      <c r="E89" s="4728" t="s">
        <v>3037</v>
      </c>
      <c r="F89" s="4728"/>
      <c r="G89" s="4728"/>
      <c r="H89" s="4728"/>
    </row>
    <row r="90" spans="3:8" ht="12.75" customHeight="1">
      <c r="C90" s="1386"/>
      <c r="D90" s="1384" t="s">
        <v>2917</v>
      </c>
      <c r="E90" s="4729" t="s">
        <v>3038</v>
      </c>
      <c r="F90" s="4729"/>
      <c r="G90" s="4729"/>
      <c r="H90" s="4729"/>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3953</v>
      </c>
      <c r="E94" s="4728" t="s">
        <v>3037</v>
      </c>
      <c r="F94" s="4728"/>
      <c r="G94" s="4728"/>
      <c r="H94" s="4728"/>
    </row>
    <row r="95" spans="3:8" ht="12.75" customHeight="1">
      <c r="C95" s="1386"/>
      <c r="D95" s="1384" t="s">
        <v>2917</v>
      </c>
      <c r="E95" s="4729" t="s">
        <v>3038</v>
      </c>
      <c r="F95" s="4729"/>
      <c r="G95" s="4729"/>
      <c r="H95" s="4729"/>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149999999999999" customHeight="1" thickBot="1">
      <c r="A104" s="4735">
        <v>30</v>
      </c>
      <c r="B104" s="4736"/>
      <c r="C104" s="1387" t="s">
        <v>974</v>
      </c>
    </row>
    <row r="105" spans="1:11" ht="9" customHeight="1">
      <c r="A105" s="600"/>
    </row>
    <row r="106" spans="1:11" ht="28.15" customHeight="1">
      <c r="A106" s="4728" t="s">
        <v>3956</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3948</v>
      </c>
      <c r="D108" s="626" t="s">
        <v>3949</v>
      </c>
    </row>
    <row r="109" spans="1:11" ht="1.9"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3953</v>
      </c>
      <c r="E112" s="4728" t="s">
        <v>3037</v>
      </c>
      <c r="F112" s="4728"/>
      <c r="G112" s="4728"/>
      <c r="H112" s="4728"/>
    </row>
    <row r="113" spans="1:8" ht="12.75" customHeight="1">
      <c r="C113" s="1386"/>
      <c r="D113" s="1384" t="s">
        <v>2917</v>
      </c>
      <c r="E113" s="4729" t="s">
        <v>3038</v>
      </c>
      <c r="F113" s="4729"/>
      <c r="G113" s="4729"/>
      <c r="H113" s="4729"/>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3953</v>
      </c>
      <c r="E117" s="4728" t="s">
        <v>3037</v>
      </c>
      <c r="F117" s="4728"/>
      <c r="G117" s="4728"/>
      <c r="H117" s="4728"/>
    </row>
    <row r="118" spans="1:8" ht="12.75" customHeight="1">
      <c r="C118" s="1386"/>
      <c r="D118" s="1384" t="s">
        <v>2917</v>
      </c>
      <c r="E118" s="4729" t="s">
        <v>3038</v>
      </c>
      <c r="F118" s="4729"/>
      <c r="G118" s="4729"/>
      <c r="H118" s="4729"/>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3953</v>
      </c>
      <c r="E122" s="4728" t="s">
        <v>3037</v>
      </c>
      <c r="F122" s="4728"/>
      <c r="G122" s="4728"/>
      <c r="H122" s="4728"/>
    </row>
    <row r="123" spans="1:8" ht="12.75" customHeight="1">
      <c r="C123" s="1386"/>
      <c r="D123" s="1384" t="s">
        <v>2917</v>
      </c>
      <c r="E123" s="4729" t="s">
        <v>3038</v>
      </c>
      <c r="F123" s="4729"/>
      <c r="G123" s="4729"/>
      <c r="H123" s="4729"/>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3953</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3953</v>
      </c>
      <c r="E134" s="4728" t="s">
        <v>3037</v>
      </c>
      <c r="F134" s="4728"/>
      <c r="G134" s="4728"/>
      <c r="H134" s="4728"/>
    </row>
    <row r="135" spans="1:8" ht="12.75" customHeight="1">
      <c r="C135" s="1386"/>
      <c r="D135" s="1384" t="s">
        <v>2917</v>
      </c>
      <c r="E135" s="4729" t="s">
        <v>3038</v>
      </c>
      <c r="F135" s="4729"/>
      <c r="G135" s="4729"/>
      <c r="H135" s="4729"/>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3953</v>
      </c>
      <c r="E139" s="4728" t="s">
        <v>3037</v>
      </c>
      <c r="F139" s="4728"/>
      <c r="G139" s="4728"/>
      <c r="H139" s="4728"/>
    </row>
    <row r="140" spans="1:8" ht="12.75" customHeight="1">
      <c r="C140" s="1386"/>
      <c r="D140" s="1384" t="s">
        <v>2917</v>
      </c>
      <c r="E140" s="4729" t="s">
        <v>3038</v>
      </c>
      <c r="F140" s="4729"/>
      <c r="G140" s="4729"/>
      <c r="H140" s="4729"/>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3953</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3953</v>
      </c>
      <c r="E151" s="4728" t="s">
        <v>3037</v>
      </c>
      <c r="F151" s="4728"/>
      <c r="G151" s="4728"/>
      <c r="H151" s="4728"/>
    </row>
    <row r="152" spans="1:8" ht="12.75" customHeight="1">
      <c r="C152" s="1386"/>
      <c r="D152" s="1384" t="s">
        <v>2917</v>
      </c>
      <c r="E152" s="4729" t="s">
        <v>3038</v>
      </c>
      <c r="F152" s="4729"/>
      <c r="G152" s="4729"/>
      <c r="H152" s="4729"/>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3953</v>
      </c>
      <c r="E156" s="4728" t="s">
        <v>3037</v>
      </c>
      <c r="F156" s="4728"/>
      <c r="G156" s="4728"/>
      <c r="H156" s="4728"/>
    </row>
    <row r="157" spans="1:8" ht="12.75" customHeight="1">
      <c r="C157" s="1386"/>
      <c r="D157" s="1384" t="s">
        <v>2917</v>
      </c>
      <c r="E157" s="4729" t="s">
        <v>3038</v>
      </c>
      <c r="F157" s="4729"/>
      <c r="G157" s="4729"/>
      <c r="H157" s="4729"/>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3953</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3953</v>
      </c>
      <c r="E168" s="4728" t="s">
        <v>3037</v>
      </c>
      <c r="F168" s="4728"/>
      <c r="G168" s="4728"/>
      <c r="H168" s="4728"/>
    </row>
    <row r="169" spans="1:8" ht="12.75" customHeight="1">
      <c r="C169" s="1386"/>
      <c r="D169" s="1384" t="s">
        <v>2917</v>
      </c>
      <c r="E169" s="4729" t="s">
        <v>3038</v>
      </c>
      <c r="F169" s="4729"/>
      <c r="G169" s="4729"/>
      <c r="H169" s="4729"/>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3953</v>
      </c>
      <c r="E173" s="4728" t="s">
        <v>3037</v>
      </c>
      <c r="F173" s="4728"/>
      <c r="G173" s="4728"/>
      <c r="H173" s="4728"/>
    </row>
    <row r="174" spans="1:8" ht="12.75" customHeight="1">
      <c r="C174" s="1386"/>
      <c r="D174" s="1384" t="s">
        <v>2917</v>
      </c>
      <c r="E174" s="4729" t="s">
        <v>3038</v>
      </c>
      <c r="F174" s="4729"/>
      <c r="G174" s="4729"/>
      <c r="H174" s="4729"/>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149999999999999" customHeight="1" thickBot="1">
      <c r="A183" s="4735">
        <v>40</v>
      </c>
      <c r="B183" s="4736"/>
      <c r="C183" s="1387" t="s">
        <v>974</v>
      </c>
    </row>
    <row r="184" spans="1:11" ht="9" customHeight="1">
      <c r="A184" s="600"/>
    </row>
    <row r="185" spans="1:11" ht="28.15" customHeight="1">
      <c r="A185" s="4728" t="s">
        <v>3957</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3948</v>
      </c>
      <c r="D187" s="626" t="s">
        <v>3949</v>
      </c>
    </row>
    <row r="188" spans="1:11" ht="1.9"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3953</v>
      </c>
      <c r="E191" s="4728" t="s">
        <v>3037</v>
      </c>
      <c r="F191" s="4728"/>
      <c r="G191" s="4728"/>
      <c r="H191" s="4728"/>
    </row>
    <row r="192" spans="1:11" ht="12.75" customHeight="1">
      <c r="C192" s="1386"/>
      <c r="D192" s="1384" t="s">
        <v>2917</v>
      </c>
      <c r="E192" s="4729" t="s">
        <v>3038</v>
      </c>
      <c r="F192" s="4729"/>
      <c r="G192" s="4729"/>
      <c r="H192" s="4729"/>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3953</v>
      </c>
      <c r="E196" s="4728" t="s">
        <v>3037</v>
      </c>
      <c r="F196" s="4728"/>
      <c r="G196" s="4728"/>
      <c r="H196" s="4728"/>
    </row>
    <row r="197" spans="1:8" ht="12.75" customHeight="1">
      <c r="C197" s="1386"/>
      <c r="D197" s="1384" t="s">
        <v>2917</v>
      </c>
      <c r="E197" s="4729" t="s">
        <v>3038</v>
      </c>
      <c r="F197" s="4729"/>
      <c r="G197" s="4729"/>
      <c r="H197" s="4729"/>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3953</v>
      </c>
      <c r="E201" s="4728" t="s">
        <v>3037</v>
      </c>
      <c r="F201" s="4728"/>
      <c r="G201" s="4728"/>
      <c r="H201" s="4728"/>
    </row>
    <row r="202" spans="1:8" ht="12.75" customHeight="1">
      <c r="C202" s="1386"/>
      <c r="D202" s="1384" t="s">
        <v>2917</v>
      </c>
      <c r="E202" s="4729" t="s">
        <v>3038</v>
      </c>
      <c r="F202" s="4729"/>
      <c r="G202" s="4729"/>
      <c r="H202" s="4729"/>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3953</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3953</v>
      </c>
      <c r="E213" s="4728" t="s">
        <v>3037</v>
      </c>
      <c r="F213" s="4728"/>
      <c r="G213" s="4728"/>
      <c r="H213" s="4728"/>
    </row>
    <row r="214" spans="1:8" ht="12.75" customHeight="1">
      <c r="C214" s="1386"/>
      <c r="D214" s="1384" t="s">
        <v>2917</v>
      </c>
      <c r="E214" s="4729" t="s">
        <v>3038</v>
      </c>
      <c r="F214" s="4729"/>
      <c r="G214" s="4729"/>
      <c r="H214" s="4729"/>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3953</v>
      </c>
      <c r="E218" s="4728" t="s">
        <v>3037</v>
      </c>
      <c r="F218" s="4728"/>
      <c r="G218" s="4728"/>
      <c r="H218" s="4728"/>
    </row>
    <row r="219" spans="1:8" ht="12.75" customHeight="1">
      <c r="C219" s="1386"/>
      <c r="D219" s="1384" t="s">
        <v>2917</v>
      </c>
      <c r="E219" s="4729" t="s">
        <v>3038</v>
      </c>
      <c r="F219" s="4729"/>
      <c r="G219" s="4729"/>
      <c r="H219" s="4729"/>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3953</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3953</v>
      </c>
      <c r="E230" s="4728" t="s">
        <v>3037</v>
      </c>
      <c r="F230" s="4728"/>
      <c r="G230" s="4728"/>
      <c r="H230" s="4728"/>
    </row>
    <row r="231" spans="1:8" ht="12.75" customHeight="1">
      <c r="C231" s="1386"/>
      <c r="D231" s="1384" t="s">
        <v>2917</v>
      </c>
      <c r="E231" s="4729" t="s">
        <v>3038</v>
      </c>
      <c r="F231" s="4729"/>
      <c r="G231" s="4729"/>
      <c r="H231" s="4729"/>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3953</v>
      </c>
      <c r="E235" s="4728" t="s">
        <v>3037</v>
      </c>
      <c r="F235" s="4728"/>
      <c r="G235" s="4728"/>
      <c r="H235" s="4728"/>
    </row>
    <row r="236" spans="1:8" ht="12.75" customHeight="1">
      <c r="C236" s="1386"/>
      <c r="D236" s="1384" t="s">
        <v>2917</v>
      </c>
      <c r="E236" s="4729" t="s">
        <v>3038</v>
      </c>
      <c r="F236" s="4729"/>
      <c r="G236" s="4729"/>
      <c r="H236" s="4729"/>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3953</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3953</v>
      </c>
      <c r="E247" s="4728" t="s">
        <v>3037</v>
      </c>
      <c r="F247" s="4728"/>
      <c r="G247" s="4728"/>
      <c r="H247" s="4728"/>
    </row>
    <row r="248" spans="1:8" ht="12.75" customHeight="1">
      <c r="C248" s="1386"/>
      <c r="D248" s="1384" t="s">
        <v>2917</v>
      </c>
      <c r="E248" s="4729" t="s">
        <v>3038</v>
      </c>
      <c r="F248" s="4729"/>
      <c r="G248" s="4729"/>
      <c r="H248" s="4729"/>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3953</v>
      </c>
      <c r="E252" s="4728" t="s">
        <v>3037</v>
      </c>
      <c r="F252" s="4728"/>
      <c r="G252" s="4728"/>
      <c r="H252" s="4728"/>
    </row>
    <row r="253" spans="1:8" ht="12.75" customHeight="1">
      <c r="C253" s="1386"/>
      <c r="D253" s="1384" t="s">
        <v>2917</v>
      </c>
      <c r="E253" s="4729" t="s">
        <v>3038</v>
      </c>
      <c r="F253" s="4729"/>
      <c r="G253" s="4729"/>
      <c r="H253" s="4729"/>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149999999999999" customHeight="1" thickBot="1">
      <c r="A262" s="4735">
        <v>50</v>
      </c>
      <c r="B262" s="4736"/>
      <c r="C262" s="1387" t="s">
        <v>974</v>
      </c>
    </row>
    <row r="263" spans="1:11" ht="9" customHeight="1">
      <c r="A263" s="600"/>
    </row>
    <row r="264" spans="1:11" ht="28.15" customHeight="1">
      <c r="A264" s="4728" t="s">
        <v>3954</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3948</v>
      </c>
      <c r="D266" s="626" t="s">
        <v>3949</v>
      </c>
    </row>
    <row r="267" spans="1:11" ht="1.9"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3953</v>
      </c>
      <c r="E270" s="4728" t="s">
        <v>3037</v>
      </c>
      <c r="F270" s="4728"/>
      <c r="G270" s="4728"/>
      <c r="H270" s="4728"/>
    </row>
    <row r="271" spans="1:11" ht="12.75" customHeight="1">
      <c r="C271" s="1386"/>
      <c r="D271" s="1384" t="s">
        <v>2917</v>
      </c>
      <c r="E271" s="4729" t="s">
        <v>3038</v>
      </c>
      <c r="F271" s="4729"/>
      <c r="G271" s="4729"/>
      <c r="H271" s="4729"/>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3953</v>
      </c>
      <c r="E275" s="4728" t="s">
        <v>3037</v>
      </c>
      <c r="F275" s="4728"/>
      <c r="G275" s="4728"/>
      <c r="H275" s="4728"/>
    </row>
    <row r="276" spans="1:8" ht="12.75" customHeight="1">
      <c r="C276" s="1386"/>
      <c r="D276" s="1384" t="s">
        <v>2917</v>
      </c>
      <c r="E276" s="4729" t="s">
        <v>3038</v>
      </c>
      <c r="F276" s="4729"/>
      <c r="G276" s="4729"/>
      <c r="H276" s="4729"/>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3953</v>
      </c>
      <c r="E280" s="4728" t="s">
        <v>3037</v>
      </c>
      <c r="F280" s="4728"/>
      <c r="G280" s="4728"/>
      <c r="H280" s="4728"/>
    </row>
    <row r="281" spans="1:8" ht="12.75" customHeight="1">
      <c r="C281" s="1386"/>
      <c r="D281" s="1384" t="s">
        <v>2917</v>
      </c>
      <c r="E281" s="4729" t="s">
        <v>3038</v>
      </c>
      <c r="F281" s="4729"/>
      <c r="G281" s="4729"/>
      <c r="H281" s="4729"/>
    </row>
    <row r="282" spans="1:8" ht="6" customHeight="1">
      <c r="D282" s="627"/>
      <c r="E282" s="1004"/>
      <c r="F282" s="1004"/>
      <c r="G282" s="1004"/>
      <c r="H282" s="1004"/>
    </row>
    <row r="283" spans="1:8">
      <c r="A283" s="608" t="s">
        <v>2913</v>
      </c>
      <c r="B283" s="625">
        <f>IF('Part V-Revenues &amp; Expenses'!$L$59=0,"",'Part V-Revenues &amp; Expenses'!$L$59)</f>
        <v>4</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3953</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3953</v>
      </c>
      <c r="E292" s="4728" t="s">
        <v>3037</v>
      </c>
      <c r="F292" s="4728"/>
      <c r="G292" s="4728"/>
      <c r="H292" s="4728"/>
    </row>
    <row r="293" spans="1:8" ht="12.75" customHeight="1">
      <c r="C293" s="1386"/>
      <c r="D293" s="1384" t="s">
        <v>2917</v>
      </c>
      <c r="E293" s="4729" t="s">
        <v>3038</v>
      </c>
      <c r="F293" s="4729"/>
      <c r="G293" s="4729"/>
      <c r="H293" s="4729"/>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3953</v>
      </c>
      <c r="E297" s="4728" t="s">
        <v>3037</v>
      </c>
      <c r="F297" s="4728"/>
      <c r="G297" s="4728"/>
      <c r="H297" s="4728"/>
    </row>
    <row r="298" spans="1:8" ht="12.75" customHeight="1">
      <c r="C298" s="1386"/>
      <c r="D298" s="1384" t="s">
        <v>2917</v>
      </c>
      <c r="E298" s="4729" t="s">
        <v>3038</v>
      </c>
      <c r="F298" s="4729"/>
      <c r="G298" s="4729"/>
      <c r="H298" s="4729"/>
    </row>
    <row r="299" spans="1:8" ht="6" customHeight="1">
      <c r="D299" s="627"/>
      <c r="E299" s="1004"/>
      <c r="F299" s="1004"/>
      <c r="G299" s="1004"/>
      <c r="H299" s="1004"/>
    </row>
    <row r="300" spans="1:8">
      <c r="A300" s="608" t="s">
        <v>2913</v>
      </c>
      <c r="B300" s="625">
        <f>IF('Part V-Revenues &amp; Expenses'!$M$59=0,"",'Part V-Revenues &amp; Expenses'!$M$59)</f>
        <v>5</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3953</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3953</v>
      </c>
      <c r="E309" s="4728" t="s">
        <v>3037</v>
      </c>
      <c r="F309" s="4728"/>
      <c r="G309" s="4728"/>
      <c r="H309" s="4728"/>
    </row>
    <row r="310" spans="1:8" ht="12.75" customHeight="1">
      <c r="C310" s="1386"/>
      <c r="D310" s="1384" t="s">
        <v>2917</v>
      </c>
      <c r="E310" s="4729" t="s">
        <v>3038</v>
      </c>
      <c r="F310" s="4729"/>
      <c r="G310" s="4729"/>
      <c r="H310" s="4729"/>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3953</v>
      </c>
      <c r="E314" s="4728" t="s">
        <v>3037</v>
      </c>
      <c r="F314" s="4728"/>
      <c r="G314" s="4728"/>
      <c r="H314" s="4728"/>
    </row>
    <row r="315" spans="1:8" ht="12.75" customHeight="1">
      <c r="C315" s="1386"/>
      <c r="D315" s="1384" t="s">
        <v>2917</v>
      </c>
      <c r="E315" s="4729" t="s">
        <v>3038</v>
      </c>
      <c r="F315" s="4729"/>
      <c r="G315" s="4729"/>
      <c r="H315" s="4729"/>
    </row>
    <row r="316" spans="1:8" ht="6" customHeight="1">
      <c r="D316" s="627"/>
      <c r="E316" s="1004"/>
      <c r="F316" s="1004"/>
      <c r="G316" s="1004"/>
      <c r="H316" s="1004"/>
    </row>
    <row r="317" spans="1:8">
      <c r="A317" s="608" t="s">
        <v>2913</v>
      </c>
      <c r="B317" s="625">
        <f>IF('Part V-Revenues &amp; Expenses'!$N$59=0,"",'Part V-Revenues &amp; Expenses'!$N$59)</f>
        <v>4</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3953</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3953</v>
      </c>
      <c r="E326" s="4728" t="s">
        <v>3037</v>
      </c>
      <c r="F326" s="4728"/>
      <c r="G326" s="4728"/>
      <c r="H326" s="4728"/>
    </row>
    <row r="327" spans="1:11" ht="12.75" customHeight="1">
      <c r="C327" s="1386"/>
      <c r="D327" s="1384" t="s">
        <v>2917</v>
      </c>
      <c r="E327" s="4729" t="s">
        <v>3038</v>
      </c>
      <c r="F327" s="4729"/>
      <c r="G327" s="4729"/>
      <c r="H327" s="4729"/>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3953</v>
      </c>
      <c r="E331" s="4728" t="s">
        <v>3037</v>
      </c>
      <c r="F331" s="4728"/>
      <c r="G331" s="4728"/>
      <c r="H331" s="4728"/>
    </row>
    <row r="332" spans="1:11" ht="12.75" customHeight="1">
      <c r="C332" s="1386"/>
      <c r="D332" s="1384" t="s">
        <v>2917</v>
      </c>
      <c r="E332" s="4729" t="s">
        <v>3038</v>
      </c>
      <c r="F332" s="4729"/>
      <c r="G332" s="4729"/>
      <c r="H332" s="4729"/>
    </row>
    <row r="333" spans="1:11" ht="6" customHeight="1">
      <c r="D333" s="627"/>
      <c r="E333" s="1004"/>
      <c r="F333" s="1004"/>
      <c r="G333" s="1004"/>
      <c r="H333" s="1004"/>
    </row>
    <row r="334" spans="1:11">
      <c r="A334" s="608" t="s">
        <v>2913</v>
      </c>
      <c r="B334" s="625">
        <f>IF('Part V-Revenues &amp; Expenses'!$O$59=0,"",'Part V-Revenues &amp; Expenses'!$O$59)</f>
        <v>2</v>
      </c>
      <c r="C334" s="608" t="s">
        <v>3951</v>
      </c>
      <c r="D334" s="626" t="s">
        <v>3952</v>
      </c>
    </row>
    <row r="335" spans="1:11" ht="1.9"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387" t="s">
        <v>974</v>
      </c>
    </row>
    <row r="343" spans="1:8" ht="9" customHeight="1">
      <c r="A343" s="600"/>
    </row>
    <row r="344" spans="1:8" ht="28.15" customHeight="1">
      <c r="A344" s="4728" t="s">
        <v>3958</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3948</v>
      </c>
      <c r="D346" s="626" t="s">
        <v>3949</v>
      </c>
    </row>
    <row r="347" spans="1:8" ht="1.9"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3953</v>
      </c>
      <c r="E350" s="4728" t="s">
        <v>3037</v>
      </c>
      <c r="F350" s="4728"/>
      <c r="G350" s="4728"/>
      <c r="H350" s="4728"/>
    </row>
    <row r="351" spans="1:8" ht="12.75" customHeight="1">
      <c r="C351" s="1386"/>
      <c r="D351" s="1384" t="s">
        <v>2917</v>
      </c>
      <c r="E351" s="4729" t="s">
        <v>3038</v>
      </c>
      <c r="F351" s="4729"/>
      <c r="G351" s="4729"/>
      <c r="H351" s="4729"/>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3953</v>
      </c>
      <c r="E355" s="4728" t="s">
        <v>3037</v>
      </c>
      <c r="F355" s="4728"/>
      <c r="G355" s="4728"/>
      <c r="H355" s="4728"/>
    </row>
    <row r="356" spans="1:8" ht="12.75" customHeight="1">
      <c r="C356" s="1386"/>
      <c r="D356" s="1384" t="s">
        <v>2917</v>
      </c>
      <c r="E356" s="4729" t="s">
        <v>3038</v>
      </c>
      <c r="F356" s="4729"/>
      <c r="G356" s="4729"/>
      <c r="H356" s="4729"/>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3953</v>
      </c>
      <c r="E360" s="4728" t="s">
        <v>3037</v>
      </c>
      <c r="F360" s="4728"/>
      <c r="G360" s="4728"/>
      <c r="H360" s="4728"/>
    </row>
    <row r="361" spans="1:8" ht="12.75" customHeight="1">
      <c r="C361" s="1386"/>
      <c r="D361" s="1384" t="s">
        <v>2917</v>
      </c>
      <c r="E361" s="4729" t="s">
        <v>3038</v>
      </c>
      <c r="F361" s="4729"/>
      <c r="G361" s="4729"/>
      <c r="H361" s="4729"/>
    </row>
    <row r="362" spans="1:8" ht="6" customHeight="1">
      <c r="D362" s="627"/>
      <c r="E362" s="1004"/>
      <c r="F362" s="1004"/>
      <c r="G362" s="1004"/>
      <c r="H362" s="1004"/>
    </row>
    <row r="363" spans="1:8">
      <c r="A363" s="608" t="s">
        <v>2913</v>
      </c>
      <c r="B363" s="625">
        <f>IF('Part V-Revenues &amp; Expenses'!$L$58=0,"",'Part V-Revenues &amp; Expenses'!$L$58)</f>
        <v>12</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3953</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3953</v>
      </c>
      <c r="E372" s="4728" t="s">
        <v>3037</v>
      </c>
      <c r="F372" s="4728"/>
      <c r="G372" s="4728"/>
      <c r="H372" s="4728"/>
    </row>
    <row r="373" spans="1:8" ht="12.75" customHeight="1">
      <c r="C373" s="1386"/>
      <c r="D373" s="1384" t="s">
        <v>2917</v>
      </c>
      <c r="E373" s="4729" t="s">
        <v>3038</v>
      </c>
      <c r="F373" s="4729"/>
      <c r="G373" s="4729"/>
      <c r="H373" s="4729"/>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3953</v>
      </c>
      <c r="E377" s="4728" t="s">
        <v>3037</v>
      </c>
      <c r="F377" s="4728"/>
      <c r="G377" s="4728"/>
      <c r="H377" s="4728"/>
    </row>
    <row r="378" spans="1:8" ht="12.75" customHeight="1">
      <c r="C378" s="1386"/>
      <c r="D378" s="1384" t="s">
        <v>2917</v>
      </c>
      <c r="E378" s="4729" t="s">
        <v>3038</v>
      </c>
      <c r="F378" s="4729"/>
      <c r="G378" s="4729"/>
      <c r="H378" s="4729"/>
    </row>
    <row r="379" spans="1:8" ht="6" customHeight="1">
      <c r="D379" s="627"/>
      <c r="E379" s="1004"/>
      <c r="F379" s="1004"/>
      <c r="G379" s="1004"/>
      <c r="H379" s="1004"/>
    </row>
    <row r="380" spans="1:8">
      <c r="A380" s="608" t="s">
        <v>2913</v>
      </c>
      <c r="B380" s="625">
        <f>IF('Part V-Revenues &amp; Expenses'!$M$58=0,"",'Part V-Revenues &amp; Expenses'!$M$58)</f>
        <v>18</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3953</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3953</v>
      </c>
      <c r="E389" s="4728" t="s">
        <v>3037</v>
      </c>
      <c r="F389" s="4728"/>
      <c r="G389" s="4728"/>
      <c r="H389" s="4728"/>
    </row>
    <row r="390" spans="1:8" ht="12.75" customHeight="1">
      <c r="C390" s="1386"/>
      <c r="D390" s="1384" t="s">
        <v>2917</v>
      </c>
      <c r="E390" s="4729" t="s">
        <v>3038</v>
      </c>
      <c r="F390" s="4729"/>
      <c r="G390" s="4729"/>
      <c r="H390" s="4729"/>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3953</v>
      </c>
      <c r="E394" s="4728" t="s">
        <v>3037</v>
      </c>
      <c r="F394" s="4728"/>
      <c r="G394" s="4728"/>
      <c r="H394" s="4728"/>
    </row>
    <row r="395" spans="1:8" ht="12.75" customHeight="1">
      <c r="C395" s="1386"/>
      <c r="D395" s="1384" t="s">
        <v>2917</v>
      </c>
      <c r="E395" s="4729" t="s">
        <v>3038</v>
      </c>
      <c r="F395" s="4729"/>
      <c r="G395" s="4729"/>
      <c r="H395" s="4729"/>
    </row>
    <row r="396" spans="1:8" ht="6" customHeight="1">
      <c r="D396" s="627"/>
      <c r="E396" s="1004"/>
      <c r="F396" s="1004"/>
      <c r="G396" s="1004"/>
      <c r="H396" s="1004"/>
    </row>
    <row r="397" spans="1:8">
      <c r="A397" s="608" t="s">
        <v>2913</v>
      </c>
      <c r="B397" s="625">
        <f>IF('Part V-Revenues &amp; Expenses'!$N$58=0,"",'Part V-Revenues &amp; Expenses'!$N$58)</f>
        <v>12</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3953</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3953</v>
      </c>
      <c r="E406" s="4728" t="s">
        <v>3037</v>
      </c>
      <c r="F406" s="4728"/>
      <c r="G406" s="4728"/>
      <c r="H406" s="4728"/>
    </row>
    <row r="407" spans="1:11" ht="12.75" customHeight="1">
      <c r="C407" s="1386"/>
      <c r="D407" s="1384" t="s">
        <v>2917</v>
      </c>
      <c r="E407" s="4729" t="s">
        <v>3038</v>
      </c>
      <c r="F407" s="4729"/>
      <c r="G407" s="4729"/>
      <c r="H407" s="4729"/>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3953</v>
      </c>
      <c r="E411" s="4728" t="s">
        <v>3037</v>
      </c>
      <c r="F411" s="4728"/>
      <c r="G411" s="4728"/>
      <c r="H411" s="4728"/>
    </row>
    <row r="412" spans="1:11" ht="12.75" customHeight="1">
      <c r="C412" s="1386"/>
      <c r="D412" s="1384" t="s">
        <v>2917</v>
      </c>
      <c r="E412" s="4729" t="s">
        <v>3038</v>
      </c>
      <c r="F412" s="4729"/>
      <c r="G412" s="4729"/>
      <c r="H412" s="4729"/>
    </row>
    <row r="413" spans="1:11" ht="6" customHeight="1">
      <c r="D413" s="627"/>
      <c r="E413" s="1004"/>
      <c r="F413" s="1004"/>
      <c r="G413" s="1004"/>
      <c r="H413" s="1004"/>
    </row>
    <row r="414" spans="1:11">
      <c r="A414" s="608" t="s">
        <v>2913</v>
      </c>
      <c r="B414" s="625">
        <f>IF('Part V-Revenues &amp; Expenses'!$O$58=0,"",'Part V-Revenues &amp; Expenses'!$O$58)</f>
        <v>6</v>
      </c>
      <c r="C414" s="608" t="s">
        <v>3951</v>
      </c>
      <c r="D414" s="626" t="s">
        <v>3952</v>
      </c>
    </row>
    <row r="415" spans="1:11" ht="1.9"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149999999999999" customHeight="1" thickBot="1">
      <c r="A421" s="4735">
        <v>70</v>
      </c>
      <c r="B421" s="4736"/>
      <c r="C421" s="1387" t="s">
        <v>974</v>
      </c>
    </row>
    <row r="422" spans="1:8" ht="9" customHeight="1">
      <c r="A422" s="600"/>
    </row>
    <row r="423" spans="1:8" ht="28.15" customHeight="1">
      <c r="A423" s="4728" t="s">
        <v>3959</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3948</v>
      </c>
      <c r="D425" s="626" t="s">
        <v>3949</v>
      </c>
    </row>
    <row r="426" spans="1:8" ht="1.9"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3953</v>
      </c>
      <c r="E429" s="4728" t="s">
        <v>3037</v>
      </c>
      <c r="F429" s="4728"/>
      <c r="G429" s="4728"/>
      <c r="H429" s="4728"/>
    </row>
    <row r="430" spans="1:8" ht="12.75" customHeight="1">
      <c r="C430" s="1386"/>
      <c r="D430" s="1384" t="s">
        <v>2917</v>
      </c>
      <c r="E430" s="4729" t="s">
        <v>3038</v>
      </c>
      <c r="F430" s="4729"/>
      <c r="G430" s="4729"/>
      <c r="H430" s="4729"/>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3953</v>
      </c>
      <c r="E434" s="4728" t="s">
        <v>3037</v>
      </c>
      <c r="F434" s="4728"/>
      <c r="G434" s="4728"/>
      <c r="H434" s="4728"/>
    </row>
    <row r="435" spans="1:8" ht="12.75" customHeight="1">
      <c r="C435" s="1386"/>
      <c r="D435" s="1384" t="s">
        <v>2917</v>
      </c>
      <c r="E435" s="4729" t="s">
        <v>3038</v>
      </c>
      <c r="F435" s="4729"/>
      <c r="G435" s="4729"/>
      <c r="H435" s="4729"/>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3953</v>
      </c>
      <c r="E439" s="4728" t="s">
        <v>3037</v>
      </c>
      <c r="F439" s="4728"/>
      <c r="G439" s="4728"/>
      <c r="H439" s="4728"/>
    </row>
    <row r="440" spans="1:8" ht="12.75" customHeight="1">
      <c r="C440" s="1386"/>
      <c r="D440" s="1384" t="s">
        <v>2917</v>
      </c>
      <c r="E440" s="4729" t="s">
        <v>3038</v>
      </c>
      <c r="F440" s="4729"/>
      <c r="G440" s="4729"/>
      <c r="H440" s="4729"/>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3953</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3953</v>
      </c>
      <c r="E451" s="4728" t="s">
        <v>3037</v>
      </c>
      <c r="F451" s="4728"/>
      <c r="G451" s="4728"/>
      <c r="H451" s="4728"/>
    </row>
    <row r="452" spans="1:8" ht="12.75" customHeight="1">
      <c r="C452" s="1386"/>
      <c r="D452" s="1384" t="s">
        <v>2917</v>
      </c>
      <c r="E452" s="4729" t="s">
        <v>3038</v>
      </c>
      <c r="F452" s="4729"/>
      <c r="G452" s="4729"/>
      <c r="H452" s="4729"/>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3953</v>
      </c>
      <c r="E456" s="4728" t="s">
        <v>3037</v>
      </c>
      <c r="F456" s="4728"/>
      <c r="G456" s="4728"/>
      <c r="H456" s="4728"/>
    </row>
    <row r="457" spans="1:8" ht="12.75" customHeight="1">
      <c r="C457" s="1386"/>
      <c r="D457" s="1384" t="s">
        <v>2917</v>
      </c>
      <c r="E457" s="4729" t="s">
        <v>3038</v>
      </c>
      <c r="F457" s="4729"/>
      <c r="G457" s="4729"/>
      <c r="H457" s="4729"/>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3953</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3953</v>
      </c>
      <c r="E468" s="4728" t="s">
        <v>3037</v>
      </c>
      <c r="F468" s="4728"/>
      <c r="G468" s="4728"/>
      <c r="H468" s="4728"/>
    </row>
    <row r="469" spans="1:8" ht="12.75" customHeight="1">
      <c r="C469" s="1386"/>
      <c r="D469" s="1384" t="s">
        <v>2917</v>
      </c>
      <c r="E469" s="4729" t="s">
        <v>3038</v>
      </c>
      <c r="F469" s="4729"/>
      <c r="G469" s="4729"/>
      <c r="H469" s="4729"/>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3953</v>
      </c>
      <c r="E473" s="4728" t="s">
        <v>3037</v>
      </c>
      <c r="F473" s="4728"/>
      <c r="G473" s="4728"/>
      <c r="H473" s="4728"/>
    </row>
    <row r="474" spans="1:8" ht="12.75" customHeight="1">
      <c r="C474" s="1386"/>
      <c r="D474" s="1384" t="s">
        <v>2917</v>
      </c>
      <c r="E474" s="4729" t="s">
        <v>3038</v>
      </c>
      <c r="F474" s="4729"/>
      <c r="G474" s="4729"/>
      <c r="H474" s="4729"/>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3953</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3953</v>
      </c>
      <c r="E485" s="4728" t="s">
        <v>3037</v>
      </c>
      <c r="F485" s="4728"/>
      <c r="G485" s="4728"/>
      <c r="H485" s="4728"/>
    </row>
    <row r="486" spans="1:11" ht="12.75" customHeight="1">
      <c r="C486" s="1386"/>
      <c r="D486" s="1384" t="s">
        <v>2917</v>
      </c>
      <c r="E486" s="4729" t="s">
        <v>3038</v>
      </c>
      <c r="F486" s="4729"/>
      <c r="G486" s="4729"/>
      <c r="H486" s="4729"/>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3953</v>
      </c>
      <c r="E490" s="4728" t="s">
        <v>3037</v>
      </c>
      <c r="F490" s="4728"/>
      <c r="G490" s="4728"/>
      <c r="H490" s="4728"/>
    </row>
    <row r="491" spans="1:11" ht="12.75" customHeight="1">
      <c r="C491" s="1386"/>
      <c r="D491" s="1384" t="s">
        <v>2917</v>
      </c>
      <c r="E491" s="4729" t="s">
        <v>3038</v>
      </c>
      <c r="F491" s="4729"/>
      <c r="G491" s="4729"/>
      <c r="H491" s="4729"/>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149999999999999" customHeight="1" thickBot="1">
      <c r="A500" s="4735">
        <v>80</v>
      </c>
      <c r="B500" s="4736"/>
      <c r="C500" s="1387" t="s">
        <v>974</v>
      </c>
    </row>
    <row r="501" spans="1:8" ht="9" customHeight="1">
      <c r="A501" s="600"/>
    </row>
    <row r="502" spans="1:8" ht="28.15" customHeight="1">
      <c r="A502" s="4728" t="s">
        <v>3960</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3948</v>
      </c>
      <c r="D504" s="626" t="s">
        <v>3949</v>
      </c>
    </row>
    <row r="505" spans="1:8" ht="1.9"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3953</v>
      </c>
      <c r="E508" s="4728" t="s">
        <v>3037</v>
      </c>
      <c r="F508" s="4728"/>
      <c r="G508" s="4728"/>
      <c r="H508" s="4728"/>
    </row>
    <row r="509" spans="1:8" ht="12.75" customHeight="1">
      <c r="C509" s="1386"/>
      <c r="D509" s="1384" t="s">
        <v>2917</v>
      </c>
      <c r="E509" s="4729" t="s">
        <v>3038</v>
      </c>
      <c r="F509" s="4729"/>
      <c r="G509" s="4729"/>
      <c r="H509" s="4729"/>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3953</v>
      </c>
      <c r="E513" s="4728" t="s">
        <v>3037</v>
      </c>
      <c r="F513" s="4728"/>
      <c r="G513" s="4728"/>
      <c r="H513" s="4728"/>
    </row>
    <row r="514" spans="1:8" ht="12.75" customHeight="1">
      <c r="C514" s="1386"/>
      <c r="D514" s="1384" t="s">
        <v>2917</v>
      </c>
      <c r="E514" s="4729" t="s">
        <v>3038</v>
      </c>
      <c r="F514" s="4729"/>
      <c r="G514" s="4729"/>
      <c r="H514" s="4729"/>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3953</v>
      </c>
      <c r="E518" s="4728" t="s">
        <v>3037</v>
      </c>
      <c r="F518" s="4728"/>
      <c r="G518" s="4728"/>
      <c r="H518" s="4728"/>
    </row>
    <row r="519" spans="1:8" ht="12.75" customHeight="1">
      <c r="C519" s="1386"/>
      <c r="D519" s="1384" t="s">
        <v>2917</v>
      </c>
      <c r="E519" s="4729" t="s">
        <v>3038</v>
      </c>
      <c r="F519" s="4729"/>
      <c r="G519" s="4729"/>
      <c r="H519" s="4729"/>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3953</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3953</v>
      </c>
      <c r="E530" s="4728" t="s">
        <v>3037</v>
      </c>
      <c r="F530" s="4728"/>
      <c r="G530" s="4728"/>
      <c r="H530" s="4728"/>
    </row>
    <row r="531" spans="1:8" ht="12.75" customHeight="1">
      <c r="C531" s="1386"/>
      <c r="D531" s="1384" t="s">
        <v>2917</v>
      </c>
      <c r="E531" s="4729" t="s">
        <v>3038</v>
      </c>
      <c r="F531" s="4729"/>
      <c r="G531" s="4729"/>
      <c r="H531" s="4729"/>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3953</v>
      </c>
      <c r="E535" s="4728" t="s">
        <v>3037</v>
      </c>
      <c r="F535" s="4728"/>
      <c r="G535" s="4728"/>
      <c r="H535" s="4728"/>
    </row>
    <row r="536" spans="1:8" ht="12.75" customHeight="1">
      <c r="C536" s="1386"/>
      <c r="D536" s="1384" t="s">
        <v>2917</v>
      </c>
      <c r="E536" s="4729" t="s">
        <v>3038</v>
      </c>
      <c r="F536" s="4729"/>
      <c r="G536" s="4729"/>
      <c r="H536" s="4729"/>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3953</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3953</v>
      </c>
      <c r="E547" s="4728" t="s">
        <v>3037</v>
      </c>
      <c r="F547" s="4728"/>
      <c r="G547" s="4728"/>
      <c r="H547" s="4728"/>
    </row>
    <row r="548" spans="1:8" ht="12.75" customHeight="1">
      <c r="C548" s="1386"/>
      <c r="D548" s="1384" t="s">
        <v>2917</v>
      </c>
      <c r="E548" s="4729" t="s">
        <v>3038</v>
      </c>
      <c r="F548" s="4729"/>
      <c r="G548" s="4729"/>
      <c r="H548" s="4729"/>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3953</v>
      </c>
      <c r="E552" s="4728" t="s">
        <v>3037</v>
      </c>
      <c r="F552" s="4728"/>
      <c r="G552" s="4728"/>
      <c r="H552" s="4728"/>
    </row>
    <row r="553" spans="1:8" ht="12.75" customHeight="1">
      <c r="C553" s="1386"/>
      <c r="D553" s="1384" t="s">
        <v>2917</v>
      </c>
      <c r="E553" s="4729" t="s">
        <v>3038</v>
      </c>
      <c r="F553" s="4729"/>
      <c r="G553" s="4729"/>
      <c r="H553" s="4729"/>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3953</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3953</v>
      </c>
      <c r="E564" s="4728" t="s">
        <v>3037</v>
      </c>
      <c r="F564" s="4728"/>
      <c r="G564" s="4728"/>
      <c r="H564" s="4728"/>
    </row>
    <row r="565" spans="1:11" ht="12.75" customHeight="1">
      <c r="C565" s="1386"/>
      <c r="D565" s="1384" t="s">
        <v>2917</v>
      </c>
      <c r="E565" s="4729" t="s">
        <v>3038</v>
      </c>
      <c r="F565" s="4729"/>
      <c r="G565" s="4729"/>
      <c r="H565" s="4729"/>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3953</v>
      </c>
      <c r="E569" s="4728" t="s">
        <v>3037</v>
      </c>
      <c r="F569" s="4728"/>
      <c r="G569" s="4728"/>
      <c r="H569" s="4728"/>
    </row>
    <row r="570" spans="1:11" ht="12.75" customHeight="1">
      <c r="C570" s="1386"/>
      <c r="D570" s="1384" t="s">
        <v>2917</v>
      </c>
      <c r="E570" s="4729" t="s">
        <v>3038</v>
      </c>
      <c r="F570" s="4729"/>
      <c r="G570" s="4729"/>
      <c r="H570" s="4729"/>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4" t="e">
        <f>CONCATENATE("PART TWO - DEVELOPMENT TEAM INFORMATION","  -  ",#REF!," ",#REF!,", ",#REF!,", ",#REF!," County")</f>
        <v>#REF!</v>
      </c>
      <c r="B2" s="3065"/>
      <c r="C2" s="3065"/>
      <c r="D2" s="3065"/>
      <c r="E2" s="3065"/>
      <c r="F2" s="3065"/>
      <c r="G2" s="3065"/>
      <c r="H2" s="3065"/>
      <c r="I2" s="3065"/>
      <c r="J2" s="3065"/>
      <c r="K2" s="3065"/>
      <c r="L2" s="3065"/>
      <c r="M2" s="3065"/>
      <c r="N2" s="3065"/>
      <c r="O2" s="3065"/>
      <c r="P2" s="3065"/>
      <c r="Q2" s="3065"/>
      <c r="R2" s="3065"/>
      <c r="S2" s="3066"/>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68" t="e">
        <f>#REF!</f>
        <v>#REF!</v>
      </c>
      <c r="P4" s="3069"/>
      <c r="Q4" s="3069"/>
      <c r="R4" s="3069"/>
      <c r="S4" s="3070"/>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3" t="s">
        <v>87</v>
      </c>
      <c r="I6" s="2989"/>
      <c r="J6" s="2989"/>
      <c r="K6" s="2989"/>
      <c r="L6" s="2989"/>
      <c r="M6" s="2989"/>
      <c r="N6" s="2990"/>
      <c r="O6" s="259" t="s">
        <v>1842</v>
      </c>
      <c r="P6" s="259"/>
      <c r="Q6" s="2933"/>
      <c r="R6" s="2989"/>
      <c r="S6" s="2990"/>
      <c r="Y6" s="826"/>
      <c r="Z6" s="1618">
        <v>6</v>
      </c>
    </row>
    <row r="7" spans="1:26" s="144" customFormat="1" ht="11.25" customHeight="1">
      <c r="D7" s="260"/>
      <c r="E7" s="246" t="s">
        <v>956</v>
      </c>
      <c r="F7" s="247"/>
      <c r="H7" s="2950"/>
      <c r="I7" s="3056"/>
      <c r="J7" s="3056"/>
      <c r="K7" s="3057"/>
      <c r="L7" s="3056"/>
      <c r="M7" s="3056"/>
      <c r="N7" s="3058"/>
      <c r="O7" s="259" t="s">
        <v>1621</v>
      </c>
      <c r="P7" s="261"/>
      <c r="Q7" s="3059"/>
      <c r="R7" s="3060"/>
      <c r="S7" s="3061"/>
      <c r="V7" s="826"/>
      <c r="W7" s="826"/>
      <c r="X7" s="826"/>
      <c r="Y7" s="826"/>
      <c r="Z7" s="1618">
        <v>7</v>
      </c>
    </row>
    <row r="8" spans="1:26" s="144" customFormat="1" ht="11.25" customHeight="1">
      <c r="D8" s="260"/>
      <c r="E8" s="246" t="s">
        <v>574</v>
      </c>
      <c r="H8" s="2950"/>
      <c r="I8" s="3057"/>
      <c r="J8" s="2986"/>
      <c r="K8" s="334" t="s">
        <v>709</v>
      </c>
      <c r="L8" s="3067"/>
      <c r="M8" s="3056"/>
      <c r="N8" s="3058"/>
      <c r="O8" s="259" t="s">
        <v>1598</v>
      </c>
      <c r="P8" s="261"/>
      <c r="Q8" s="2944"/>
      <c r="R8" s="2945"/>
      <c r="S8" s="2946"/>
      <c r="Z8" s="1618">
        <v>8</v>
      </c>
    </row>
    <row r="9" spans="1:26" s="144" customFormat="1" ht="11.25" customHeight="1">
      <c r="D9" s="260"/>
      <c r="E9" s="246" t="s">
        <v>1666</v>
      </c>
      <c r="H9" s="981"/>
      <c r="I9" s="664" t="s">
        <v>2056</v>
      </c>
      <c r="J9" s="3071"/>
      <c r="K9" s="3072"/>
      <c r="L9" s="261" t="s">
        <v>3110</v>
      </c>
      <c r="M9" s="3073"/>
      <c r="N9" s="3074"/>
      <c r="O9" s="259" t="s">
        <v>1833</v>
      </c>
      <c r="P9" s="261"/>
      <c r="Q9" s="2944"/>
      <c r="R9" s="2945"/>
      <c r="S9" s="2946"/>
      <c r="Z9" s="1618">
        <v>9</v>
      </c>
    </row>
    <row r="10" spans="1:26" s="144" customFormat="1" ht="11.25" customHeight="1">
      <c r="D10" s="260"/>
      <c r="E10" s="246" t="s">
        <v>3373</v>
      </c>
      <c r="H10" s="3054"/>
      <c r="I10" s="3075"/>
      <c r="J10" s="699"/>
      <c r="K10" s="262" t="s">
        <v>1837</v>
      </c>
      <c r="L10" s="2987"/>
      <c r="M10" s="2937"/>
      <c r="N10" s="2937"/>
      <c r="O10" s="2938"/>
      <c r="P10" s="2938"/>
      <c r="Q10" s="2937"/>
      <c r="R10" s="2937"/>
      <c r="S10" s="2988"/>
      <c r="Z10" s="1618">
        <v>10</v>
      </c>
    </row>
    <row r="11" spans="1:26" s="144" customFormat="1" ht="11.25" customHeight="1">
      <c r="D11" s="260"/>
      <c r="E11" s="932" t="s">
        <v>3372</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3"/>
      <c r="I15" s="2989"/>
      <c r="J15" s="2989"/>
      <c r="K15" s="2989"/>
      <c r="L15" s="2989"/>
      <c r="M15" s="2989"/>
      <c r="N15" s="2990"/>
      <c r="O15" s="259" t="s">
        <v>1842</v>
      </c>
      <c r="P15" s="259"/>
      <c r="Q15" s="2933"/>
      <c r="R15" s="2989"/>
      <c r="S15" s="2990"/>
      <c r="Z15" s="1618">
        <v>15</v>
      </c>
    </row>
    <row r="16" spans="1:26" s="144" customFormat="1" ht="11.25" customHeight="1">
      <c r="D16" s="260"/>
      <c r="E16" s="246" t="s">
        <v>956</v>
      </c>
      <c r="F16" s="247"/>
      <c r="H16" s="2950"/>
      <c r="I16" s="3056"/>
      <c r="J16" s="3056"/>
      <c r="K16" s="3057"/>
      <c r="L16" s="3056"/>
      <c r="M16" s="3056"/>
      <c r="N16" s="3058"/>
      <c r="O16" s="259" t="s">
        <v>1621</v>
      </c>
      <c r="P16" s="261"/>
      <c r="Q16" s="3059"/>
      <c r="R16" s="3060"/>
      <c r="S16" s="3061"/>
      <c r="Z16" s="1618">
        <v>16</v>
      </c>
    </row>
    <row r="17" spans="4:26" s="144" customFormat="1" ht="11.25" customHeight="1">
      <c r="D17" s="260"/>
      <c r="E17" s="246" t="s">
        <v>574</v>
      </c>
      <c r="H17" s="2950"/>
      <c r="I17" s="3057"/>
      <c r="J17" s="2986"/>
      <c r="K17" s="262" t="s">
        <v>2451</v>
      </c>
      <c r="L17" s="2950"/>
      <c r="M17" s="3056"/>
      <c r="N17" s="2986"/>
      <c r="O17" s="259" t="s">
        <v>1598</v>
      </c>
      <c r="P17" s="261"/>
      <c r="Q17" s="2944"/>
      <c r="R17" s="2945"/>
      <c r="S17" s="2946"/>
      <c r="Z17" s="1618">
        <v>17</v>
      </c>
    </row>
    <row r="18" spans="4:26" s="144" customFormat="1" ht="11.25" customHeight="1">
      <c r="D18" s="243"/>
      <c r="E18" s="246" t="s">
        <v>1666</v>
      </c>
      <c r="H18" s="981"/>
      <c r="I18" s="261"/>
      <c r="J18" s="261"/>
      <c r="K18" s="664" t="s">
        <v>2056</v>
      </c>
      <c r="L18" s="3062"/>
      <c r="M18" s="3063"/>
      <c r="N18" s="261"/>
      <c r="O18" s="259" t="s">
        <v>1833</v>
      </c>
      <c r="P18" s="261"/>
      <c r="Q18" s="2944"/>
      <c r="R18" s="2945"/>
      <c r="S18" s="2946"/>
      <c r="Z18" s="1618">
        <v>18</v>
      </c>
    </row>
    <row r="19" spans="4:26" s="144" customFormat="1" ht="11.25" customHeight="1">
      <c r="D19" s="260"/>
      <c r="E19" s="246" t="s">
        <v>3373</v>
      </c>
      <c r="H19" s="3054"/>
      <c r="I19" s="3055"/>
      <c r="J19" s="255"/>
      <c r="K19" s="262" t="s">
        <v>1837</v>
      </c>
      <c r="L19" s="2936"/>
      <c r="M19" s="2937"/>
      <c r="N19" s="2938"/>
      <c r="O19" s="2938"/>
      <c r="P19" s="2938"/>
      <c r="Q19" s="2937"/>
      <c r="R19" s="2937"/>
      <c r="S19" s="298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3"/>
      <c r="I21" s="2989"/>
      <c r="J21" s="2989"/>
      <c r="K21" s="2989"/>
      <c r="L21" s="2989"/>
      <c r="M21" s="2989"/>
      <c r="N21" s="2990"/>
      <c r="O21" s="259" t="s">
        <v>1842</v>
      </c>
      <c r="P21" s="259"/>
      <c r="Q21" s="2933"/>
      <c r="R21" s="2989"/>
      <c r="S21" s="2990"/>
      <c r="Z21" s="1618">
        <v>21</v>
      </c>
    </row>
    <row r="22" spans="4:26" s="144" customFormat="1" ht="11.25" customHeight="1">
      <c r="D22" s="260"/>
      <c r="E22" s="246" t="s">
        <v>956</v>
      </c>
      <c r="F22" s="247"/>
      <c r="H22" s="2950"/>
      <c r="I22" s="3056"/>
      <c r="J22" s="3056"/>
      <c r="K22" s="3057"/>
      <c r="L22" s="3056"/>
      <c r="M22" s="3056"/>
      <c r="N22" s="3058"/>
      <c r="O22" s="259" t="s">
        <v>1621</v>
      </c>
      <c r="P22" s="261"/>
      <c r="Q22" s="3059"/>
      <c r="R22" s="3060"/>
      <c r="S22" s="3061"/>
      <c r="Z22" s="1618">
        <v>22</v>
      </c>
    </row>
    <row r="23" spans="4:26" s="144" customFormat="1" ht="11.25" customHeight="1">
      <c r="D23" s="260"/>
      <c r="E23" s="246" t="s">
        <v>574</v>
      </c>
      <c r="H23" s="2950"/>
      <c r="I23" s="3057"/>
      <c r="J23" s="2986"/>
      <c r="K23" s="262" t="s">
        <v>2451</v>
      </c>
      <c r="L23" s="2950"/>
      <c r="M23" s="3056"/>
      <c r="N23" s="2986"/>
      <c r="O23" s="259" t="s">
        <v>1598</v>
      </c>
      <c r="P23" s="261"/>
      <c r="Q23" s="2944"/>
      <c r="R23" s="2945"/>
      <c r="S23" s="2946"/>
      <c r="Z23" s="1618">
        <v>23</v>
      </c>
    </row>
    <row r="24" spans="4:26" s="144" customFormat="1" ht="11.25" customHeight="1">
      <c r="E24" s="246" t="s">
        <v>1666</v>
      </c>
      <c r="H24" s="981"/>
      <c r="I24" s="261"/>
      <c r="J24" s="261"/>
      <c r="K24" s="664" t="s">
        <v>2056</v>
      </c>
      <c r="L24" s="3062"/>
      <c r="M24" s="3063"/>
      <c r="N24" s="261"/>
      <c r="O24" s="259" t="s">
        <v>1833</v>
      </c>
      <c r="P24" s="261"/>
      <c r="Q24" s="2944"/>
      <c r="R24" s="2945"/>
      <c r="S24" s="2946"/>
      <c r="Z24" s="1618">
        <v>24</v>
      </c>
    </row>
    <row r="25" spans="4:26" s="144" customFormat="1" ht="11.25" customHeight="1">
      <c r="D25" s="260"/>
      <c r="E25" s="246" t="s">
        <v>3373</v>
      </c>
      <c r="H25" s="3054"/>
      <c r="I25" s="3055"/>
      <c r="J25" s="255"/>
      <c r="K25" s="262" t="s">
        <v>1837</v>
      </c>
      <c r="L25" s="2936"/>
      <c r="M25" s="2937"/>
      <c r="N25" s="2938"/>
      <c r="O25" s="2938"/>
      <c r="P25" s="2938"/>
      <c r="Q25" s="2937"/>
      <c r="R25" s="2937"/>
      <c r="S25" s="298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3"/>
      <c r="I27" s="2989"/>
      <c r="J27" s="2989"/>
      <c r="K27" s="2989"/>
      <c r="L27" s="2989"/>
      <c r="M27" s="2989"/>
      <c r="N27" s="2990"/>
      <c r="O27" s="259" t="s">
        <v>1842</v>
      </c>
      <c r="P27" s="259"/>
      <c r="Q27" s="2933"/>
      <c r="R27" s="2989"/>
      <c r="S27" s="2990"/>
      <c r="Z27" s="1618">
        <v>27</v>
      </c>
    </row>
    <row r="28" spans="4:26" s="144" customFormat="1" ht="11.25" customHeight="1">
      <c r="D28" s="260"/>
      <c r="E28" s="246" t="s">
        <v>956</v>
      </c>
      <c r="F28" s="247"/>
      <c r="H28" s="2950"/>
      <c r="I28" s="3056"/>
      <c r="J28" s="3056"/>
      <c r="K28" s="3057"/>
      <c r="L28" s="3056"/>
      <c r="M28" s="3056"/>
      <c r="N28" s="3058"/>
      <c r="O28" s="259" t="s">
        <v>1621</v>
      </c>
      <c r="P28" s="261"/>
      <c r="Q28" s="3059"/>
      <c r="R28" s="3060"/>
      <c r="S28" s="3061"/>
      <c r="Z28" s="1618">
        <v>28</v>
      </c>
    </row>
    <row r="29" spans="4:26" s="144" customFormat="1" ht="11.25" customHeight="1">
      <c r="D29" s="260"/>
      <c r="E29" s="246" t="s">
        <v>574</v>
      </c>
      <c r="H29" s="2950"/>
      <c r="I29" s="3057"/>
      <c r="J29" s="2986"/>
      <c r="K29" s="262" t="s">
        <v>2451</v>
      </c>
      <c r="L29" s="2950"/>
      <c r="M29" s="3056"/>
      <c r="N29" s="2986"/>
      <c r="O29" s="259" t="s">
        <v>1598</v>
      </c>
      <c r="P29" s="261"/>
      <c r="Q29" s="2944"/>
      <c r="R29" s="2945"/>
      <c r="S29" s="2946"/>
      <c r="Z29" s="1618">
        <v>29</v>
      </c>
    </row>
    <row r="30" spans="4:26" s="144" customFormat="1" ht="11.25" customHeight="1">
      <c r="E30" s="246" t="s">
        <v>1666</v>
      </c>
      <c r="H30" s="981"/>
      <c r="I30" s="261"/>
      <c r="J30" s="261"/>
      <c r="K30" s="664" t="s">
        <v>2056</v>
      </c>
      <c r="L30" s="3062"/>
      <c r="M30" s="3063"/>
      <c r="N30" s="261"/>
      <c r="O30" s="259" t="s">
        <v>1833</v>
      </c>
      <c r="P30" s="261"/>
      <c r="Q30" s="2944"/>
      <c r="R30" s="2945"/>
      <c r="S30" s="2946"/>
      <c r="Z30" s="1618">
        <v>30</v>
      </c>
    </row>
    <row r="31" spans="4:26" s="144" customFormat="1" ht="11.25" customHeight="1">
      <c r="D31" s="260"/>
      <c r="E31" s="246" t="s">
        <v>3373</v>
      </c>
      <c r="H31" s="3054"/>
      <c r="I31" s="3055"/>
      <c r="J31" s="255"/>
      <c r="K31" s="262" t="s">
        <v>1837</v>
      </c>
      <c r="L31" s="2936"/>
      <c r="M31" s="2937"/>
      <c r="N31" s="2938"/>
      <c r="O31" s="2938"/>
      <c r="P31" s="2938"/>
      <c r="Q31" s="2937"/>
      <c r="R31" s="2937"/>
      <c r="S31" s="298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33"/>
      <c r="I34" s="2989"/>
      <c r="J34" s="2989"/>
      <c r="K34" s="2989"/>
      <c r="L34" s="2989"/>
      <c r="M34" s="2989"/>
      <c r="N34" s="2990"/>
      <c r="O34" s="259" t="s">
        <v>1842</v>
      </c>
      <c r="P34" s="259"/>
      <c r="Q34" s="2933"/>
      <c r="R34" s="2989"/>
      <c r="S34" s="2990"/>
      <c r="Z34" s="1618">
        <v>34</v>
      </c>
    </row>
    <row r="35" spans="3:26" s="144" customFormat="1" ht="11.25" customHeight="1">
      <c r="D35" s="260"/>
      <c r="E35" s="246" t="s">
        <v>956</v>
      </c>
      <c r="F35" s="247"/>
      <c r="H35" s="2950"/>
      <c r="I35" s="3056"/>
      <c r="J35" s="3056"/>
      <c r="K35" s="3057"/>
      <c r="L35" s="3056"/>
      <c r="M35" s="3056"/>
      <c r="N35" s="3058"/>
      <c r="O35" s="259" t="s">
        <v>1621</v>
      </c>
      <c r="P35" s="261"/>
      <c r="Q35" s="3059"/>
      <c r="R35" s="3060"/>
      <c r="S35" s="3061"/>
      <c r="Z35" s="1618">
        <v>35</v>
      </c>
    </row>
    <row r="36" spans="3:26" s="144" customFormat="1" ht="11.25" customHeight="1">
      <c r="D36" s="260"/>
      <c r="E36" s="246" t="s">
        <v>574</v>
      </c>
      <c r="H36" s="2950"/>
      <c r="I36" s="3057"/>
      <c r="J36" s="2986"/>
      <c r="K36" s="262" t="s">
        <v>2451</v>
      </c>
      <c r="L36" s="2950"/>
      <c r="M36" s="3056"/>
      <c r="N36" s="2986"/>
      <c r="O36" s="259" t="s">
        <v>1598</v>
      </c>
      <c r="P36" s="261"/>
      <c r="Q36" s="2944"/>
      <c r="R36" s="2945"/>
      <c r="S36" s="2946"/>
      <c r="Z36" s="1618">
        <v>36</v>
      </c>
    </row>
    <row r="37" spans="3:26" s="144" customFormat="1" ht="11.25" customHeight="1">
      <c r="E37" s="246" t="s">
        <v>1666</v>
      </c>
      <c r="H37" s="981"/>
      <c r="I37" s="261"/>
      <c r="J37" s="261"/>
      <c r="K37" s="664" t="s">
        <v>2056</v>
      </c>
      <c r="L37" s="3062"/>
      <c r="M37" s="3063"/>
      <c r="N37" s="261"/>
      <c r="O37" s="259" t="s">
        <v>1833</v>
      </c>
      <c r="P37" s="261"/>
      <c r="Q37" s="2944"/>
      <c r="R37" s="2945"/>
      <c r="S37" s="2946"/>
      <c r="Z37" s="1618">
        <v>37</v>
      </c>
    </row>
    <row r="38" spans="3:26" s="144" customFormat="1" ht="11.25" customHeight="1">
      <c r="D38" s="260"/>
      <c r="E38" s="246" t="s">
        <v>3373</v>
      </c>
      <c r="H38" s="3054"/>
      <c r="I38" s="3055"/>
      <c r="J38" s="255"/>
      <c r="K38" s="262" t="s">
        <v>1837</v>
      </c>
      <c r="L38" s="2936"/>
      <c r="M38" s="2937"/>
      <c r="N38" s="2938"/>
      <c r="O38" s="2938"/>
      <c r="P38" s="2938"/>
      <c r="Q38" s="2937"/>
      <c r="R38" s="2937"/>
      <c r="S38" s="298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3"/>
      <c r="I40" s="2989"/>
      <c r="J40" s="2989"/>
      <c r="K40" s="2989"/>
      <c r="L40" s="2989"/>
      <c r="M40" s="2989"/>
      <c r="N40" s="2990"/>
      <c r="O40" s="259" t="s">
        <v>1842</v>
      </c>
      <c r="P40" s="259"/>
      <c r="Q40" s="2933"/>
      <c r="R40" s="2989"/>
      <c r="S40" s="2990"/>
      <c r="Z40" s="1618">
        <v>40</v>
      </c>
    </row>
    <row r="41" spans="3:26" s="144" customFormat="1" ht="11.25" customHeight="1">
      <c r="D41" s="260"/>
      <c r="E41" s="246" t="s">
        <v>956</v>
      </c>
      <c r="F41" s="247"/>
      <c r="H41" s="2950"/>
      <c r="I41" s="3056"/>
      <c r="J41" s="3056"/>
      <c r="K41" s="3057"/>
      <c r="L41" s="3056"/>
      <c r="M41" s="3056"/>
      <c r="N41" s="3058"/>
      <c r="O41" s="259" t="s">
        <v>1621</v>
      </c>
      <c r="P41" s="261"/>
      <c r="Q41" s="3059"/>
      <c r="R41" s="3060"/>
      <c r="S41" s="3061"/>
      <c r="Z41" s="1618">
        <v>41</v>
      </c>
    </row>
    <row r="42" spans="3:26" s="144" customFormat="1" ht="11.25" customHeight="1">
      <c r="D42" s="260"/>
      <c r="E42" s="246" t="s">
        <v>574</v>
      </c>
      <c r="H42" s="2950"/>
      <c r="I42" s="3057"/>
      <c r="J42" s="2986"/>
      <c r="K42" s="262" t="s">
        <v>2451</v>
      </c>
      <c r="L42" s="2950"/>
      <c r="M42" s="3056"/>
      <c r="N42" s="2986"/>
      <c r="O42" s="259" t="s">
        <v>1598</v>
      </c>
      <c r="P42" s="261"/>
      <c r="Q42" s="2944"/>
      <c r="R42" s="2945"/>
      <c r="S42" s="2946"/>
      <c r="Z42" s="1618">
        <v>42</v>
      </c>
    </row>
    <row r="43" spans="3:26" s="144" customFormat="1" ht="11.25" customHeight="1">
      <c r="D43" s="243"/>
      <c r="E43" s="246" t="s">
        <v>1666</v>
      </c>
      <c r="H43" s="981"/>
      <c r="I43" s="261"/>
      <c r="J43" s="261"/>
      <c r="K43" s="664" t="s">
        <v>2056</v>
      </c>
      <c r="L43" s="3062"/>
      <c r="M43" s="3063"/>
      <c r="N43" s="261"/>
      <c r="O43" s="259" t="s">
        <v>1833</v>
      </c>
      <c r="P43" s="261"/>
      <c r="Q43" s="2944"/>
      <c r="R43" s="2945"/>
      <c r="S43" s="2946"/>
      <c r="Z43" s="1618">
        <v>43</v>
      </c>
    </row>
    <row r="44" spans="3:26" s="144" customFormat="1" ht="11.25" customHeight="1">
      <c r="D44" s="260"/>
      <c r="E44" s="246" t="s">
        <v>3373</v>
      </c>
      <c r="H44" s="3054"/>
      <c r="I44" s="3055"/>
      <c r="J44" s="255"/>
      <c r="K44" s="262" t="s">
        <v>1837</v>
      </c>
      <c r="L44" s="2936"/>
      <c r="M44" s="2937"/>
      <c r="N44" s="2938"/>
      <c r="O44" s="2938"/>
      <c r="P44" s="2938"/>
      <c r="Q44" s="2937"/>
      <c r="R44" s="2937"/>
      <c r="S44" s="298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33"/>
      <c r="I47" s="2989"/>
      <c r="J47" s="2989"/>
      <c r="K47" s="2989"/>
      <c r="L47" s="2989"/>
      <c r="M47" s="2989"/>
      <c r="N47" s="2990"/>
      <c r="O47" s="259" t="s">
        <v>1842</v>
      </c>
      <c r="P47" s="259"/>
      <c r="Q47" s="2933"/>
      <c r="R47" s="2989"/>
      <c r="S47" s="2990"/>
      <c r="Z47" s="1618">
        <v>47</v>
      </c>
    </row>
    <row r="48" spans="3:26" s="144" customFormat="1" ht="11.25" customHeight="1">
      <c r="D48" s="260"/>
      <c r="E48" s="246" t="s">
        <v>956</v>
      </c>
      <c r="F48" s="247"/>
      <c r="H48" s="2950"/>
      <c r="I48" s="3056"/>
      <c r="J48" s="3056"/>
      <c r="K48" s="3057"/>
      <c r="L48" s="3056"/>
      <c r="M48" s="3056"/>
      <c r="N48" s="3058"/>
      <c r="O48" s="259" t="s">
        <v>1621</v>
      </c>
      <c r="P48" s="261"/>
      <c r="Q48" s="3059"/>
      <c r="R48" s="3060"/>
      <c r="S48" s="3061"/>
      <c r="Z48" s="1618">
        <v>48</v>
      </c>
    </row>
    <row r="49" spans="1:26" s="144" customFormat="1" ht="11.25" customHeight="1">
      <c r="D49" s="260"/>
      <c r="E49" s="246" t="s">
        <v>574</v>
      </c>
      <c r="H49" s="2950"/>
      <c r="I49" s="3057"/>
      <c r="J49" s="2986"/>
      <c r="K49" s="262" t="s">
        <v>2451</v>
      </c>
      <c r="L49" s="2950"/>
      <c r="M49" s="3056"/>
      <c r="N49" s="2986"/>
      <c r="O49" s="259" t="s">
        <v>1598</v>
      </c>
      <c r="P49" s="261"/>
      <c r="Q49" s="2944"/>
      <c r="R49" s="2945"/>
      <c r="S49" s="2946"/>
      <c r="Z49" s="1618">
        <v>49</v>
      </c>
    </row>
    <row r="50" spans="1:26" s="144" customFormat="1" ht="11.25" customHeight="1">
      <c r="E50" s="246" t="s">
        <v>1666</v>
      </c>
      <c r="H50" s="981"/>
      <c r="I50" s="261"/>
      <c r="J50" s="261"/>
      <c r="K50" s="664" t="s">
        <v>2056</v>
      </c>
      <c r="L50" s="3062"/>
      <c r="M50" s="3063"/>
      <c r="N50" s="261"/>
      <c r="O50" s="259" t="s">
        <v>1833</v>
      </c>
      <c r="P50" s="261"/>
      <c r="Q50" s="2944"/>
      <c r="R50" s="2945"/>
      <c r="S50" s="2946"/>
      <c r="Z50" s="1618">
        <v>50</v>
      </c>
    </row>
    <row r="51" spans="1:26" s="144" customFormat="1" ht="11.25" customHeight="1">
      <c r="D51" s="260"/>
      <c r="E51" s="246" t="s">
        <v>3373</v>
      </c>
      <c r="H51" s="3054"/>
      <c r="I51" s="3055"/>
      <c r="J51" s="255"/>
      <c r="K51" s="262" t="s">
        <v>1837</v>
      </c>
      <c r="L51" s="2936"/>
      <c r="M51" s="2937"/>
      <c r="N51" s="2938"/>
      <c r="O51" s="2938"/>
      <c r="P51" s="2938"/>
      <c r="Q51" s="2937"/>
      <c r="R51" s="2937"/>
      <c r="S51" s="298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3"/>
      <c r="I55" s="2989"/>
      <c r="J55" s="2989"/>
      <c r="K55" s="2989"/>
      <c r="L55" s="2989"/>
      <c r="M55" s="2989"/>
      <c r="N55" s="2990"/>
      <c r="O55" s="259" t="s">
        <v>1842</v>
      </c>
      <c r="P55" s="259"/>
      <c r="Q55" s="2933"/>
      <c r="R55" s="2989"/>
      <c r="S55" s="2990"/>
      <c r="Z55" s="1618">
        <v>55</v>
      </c>
    </row>
    <row r="56" spans="1:26" s="144" customFormat="1" ht="11.25" customHeight="1">
      <c r="D56" s="260"/>
      <c r="E56" s="246" t="s">
        <v>956</v>
      </c>
      <c r="F56" s="247"/>
      <c r="H56" s="2950"/>
      <c r="I56" s="3056"/>
      <c r="J56" s="3056"/>
      <c r="K56" s="3057"/>
      <c r="L56" s="3056"/>
      <c r="M56" s="3056"/>
      <c r="N56" s="3058"/>
      <c r="O56" s="259" t="s">
        <v>1621</v>
      </c>
      <c r="P56" s="261"/>
      <c r="Q56" s="3059"/>
      <c r="R56" s="3060"/>
      <c r="S56" s="3061"/>
      <c r="Z56" s="1618">
        <v>56</v>
      </c>
    </row>
    <row r="57" spans="1:26" s="144" customFormat="1" ht="11.25" customHeight="1">
      <c r="D57" s="260"/>
      <c r="E57" s="246" t="s">
        <v>574</v>
      </c>
      <c r="H57" s="2950"/>
      <c r="I57" s="3057"/>
      <c r="J57" s="2986"/>
      <c r="K57" s="262" t="s">
        <v>2451</v>
      </c>
      <c r="L57" s="2950"/>
      <c r="M57" s="3056"/>
      <c r="N57" s="2986"/>
      <c r="O57" s="259" t="s">
        <v>1598</v>
      </c>
      <c r="P57" s="261"/>
      <c r="Q57" s="2944"/>
      <c r="R57" s="2945"/>
      <c r="S57" s="2946"/>
      <c r="Z57" s="1618">
        <v>57</v>
      </c>
    </row>
    <row r="58" spans="1:26" s="144" customFormat="1" ht="11.25" customHeight="1">
      <c r="E58" s="246" t="s">
        <v>1666</v>
      </c>
      <c r="H58" s="981"/>
      <c r="I58" s="261"/>
      <c r="J58" s="261"/>
      <c r="K58" s="664" t="s">
        <v>2056</v>
      </c>
      <c r="L58" s="3062"/>
      <c r="M58" s="3063"/>
      <c r="N58" s="261"/>
      <c r="O58" s="259" t="s">
        <v>1833</v>
      </c>
      <c r="P58" s="261"/>
      <c r="Q58" s="2944"/>
      <c r="R58" s="2945"/>
      <c r="S58" s="2946"/>
      <c r="Z58" s="1618">
        <v>58</v>
      </c>
    </row>
    <row r="59" spans="1:26" s="144" customFormat="1" ht="11.25" customHeight="1">
      <c r="D59" s="260"/>
      <c r="E59" s="246" t="s">
        <v>3373</v>
      </c>
      <c r="H59" s="3054"/>
      <c r="I59" s="3055"/>
      <c r="J59" s="255"/>
      <c r="K59" s="262" t="s">
        <v>1837</v>
      </c>
      <c r="L59" s="2936"/>
      <c r="M59" s="2937"/>
      <c r="N59" s="2938"/>
      <c r="O59" s="2938"/>
      <c r="P59" s="2938"/>
      <c r="Q59" s="2937"/>
      <c r="R59" s="2937"/>
      <c r="S59" s="298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3"/>
      <c r="I61" s="2989"/>
      <c r="J61" s="2989"/>
      <c r="K61" s="2989"/>
      <c r="L61" s="2989"/>
      <c r="M61" s="2989"/>
      <c r="N61" s="2990"/>
      <c r="O61" s="259" t="s">
        <v>1842</v>
      </c>
      <c r="P61" s="259"/>
      <c r="Q61" s="2933"/>
      <c r="R61" s="2989"/>
      <c r="S61" s="2990"/>
      <c r="Z61" s="1618">
        <v>61</v>
      </c>
    </row>
    <row r="62" spans="1:26" s="144" customFormat="1" ht="11.25" customHeight="1">
      <c r="D62" s="260"/>
      <c r="E62" s="246" t="s">
        <v>956</v>
      </c>
      <c r="F62" s="247"/>
      <c r="H62" s="2950"/>
      <c r="I62" s="3056"/>
      <c r="J62" s="3056"/>
      <c r="K62" s="3057"/>
      <c r="L62" s="3056"/>
      <c r="M62" s="3056"/>
      <c r="N62" s="3058"/>
      <c r="O62" s="259" t="s">
        <v>1621</v>
      </c>
      <c r="P62" s="261"/>
      <c r="Q62" s="3059"/>
      <c r="R62" s="3060"/>
      <c r="S62" s="3061"/>
      <c r="Z62" s="1618">
        <v>62</v>
      </c>
    </row>
    <row r="63" spans="1:26" s="144" customFormat="1" ht="11.25" customHeight="1">
      <c r="D63" s="260"/>
      <c r="E63" s="246" t="s">
        <v>574</v>
      </c>
      <c r="H63" s="2950"/>
      <c r="I63" s="3057"/>
      <c r="J63" s="2986"/>
      <c r="K63" s="262" t="s">
        <v>2451</v>
      </c>
      <c r="L63" s="2950"/>
      <c r="M63" s="3056"/>
      <c r="N63" s="2986"/>
      <c r="O63" s="259" t="s">
        <v>1598</v>
      </c>
      <c r="P63" s="261"/>
      <c r="Q63" s="2944"/>
      <c r="R63" s="2945"/>
      <c r="S63" s="2946"/>
      <c r="Z63" s="1618">
        <v>63</v>
      </c>
    </row>
    <row r="64" spans="1:26" s="144" customFormat="1" ht="11.25" customHeight="1">
      <c r="E64" s="246" t="s">
        <v>1666</v>
      </c>
      <c r="H64" s="981"/>
      <c r="I64" s="261"/>
      <c r="J64" s="261"/>
      <c r="K64" s="664" t="s">
        <v>2056</v>
      </c>
      <c r="L64" s="3062"/>
      <c r="M64" s="3063"/>
      <c r="N64" s="261"/>
      <c r="O64" s="259" t="s">
        <v>1833</v>
      </c>
      <c r="P64" s="261"/>
      <c r="Q64" s="2944"/>
      <c r="R64" s="2945"/>
      <c r="S64" s="2946"/>
      <c r="Z64" s="1618">
        <v>64</v>
      </c>
    </row>
    <row r="65" spans="1:26" s="144" customFormat="1" ht="11.25" customHeight="1">
      <c r="D65" s="260"/>
      <c r="E65" s="246" t="s">
        <v>3373</v>
      </c>
      <c r="H65" s="3054"/>
      <c r="I65" s="3055"/>
      <c r="J65" s="255"/>
      <c r="K65" s="262" t="s">
        <v>1837</v>
      </c>
      <c r="L65" s="2936"/>
      <c r="M65" s="2937"/>
      <c r="N65" s="2938"/>
      <c r="O65" s="2938"/>
      <c r="P65" s="2938"/>
      <c r="Q65" s="2937"/>
      <c r="R65" s="2937"/>
      <c r="S65" s="298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3"/>
      <c r="I67" s="2989"/>
      <c r="J67" s="2989"/>
      <c r="K67" s="2989"/>
      <c r="L67" s="2989"/>
      <c r="M67" s="2989"/>
      <c r="N67" s="2990"/>
      <c r="O67" s="259" t="s">
        <v>1842</v>
      </c>
      <c r="P67" s="259"/>
      <c r="Q67" s="2933"/>
      <c r="R67" s="2989"/>
      <c r="S67" s="2990"/>
      <c r="Z67" s="1618">
        <v>67</v>
      </c>
    </row>
    <row r="68" spans="1:26" s="144" customFormat="1" ht="11.25" customHeight="1">
      <c r="D68" s="260"/>
      <c r="E68" s="246" t="s">
        <v>956</v>
      </c>
      <c r="F68" s="247"/>
      <c r="H68" s="2950"/>
      <c r="I68" s="3056"/>
      <c r="J68" s="3056"/>
      <c r="K68" s="3057"/>
      <c r="L68" s="3056"/>
      <c r="M68" s="3056"/>
      <c r="N68" s="3058"/>
      <c r="O68" s="259" t="s">
        <v>1621</v>
      </c>
      <c r="P68" s="261"/>
      <c r="Q68" s="3059"/>
      <c r="R68" s="3060"/>
      <c r="S68" s="3061"/>
      <c r="Z68" s="1618">
        <v>68</v>
      </c>
    </row>
    <row r="69" spans="1:26" s="144" customFormat="1" ht="11.25" customHeight="1">
      <c r="D69" s="260"/>
      <c r="E69" s="246" t="s">
        <v>574</v>
      </c>
      <c r="H69" s="2950"/>
      <c r="I69" s="3057"/>
      <c r="J69" s="2986"/>
      <c r="K69" s="262" t="s">
        <v>2451</v>
      </c>
      <c r="L69" s="2950"/>
      <c r="M69" s="3056"/>
      <c r="N69" s="2986"/>
      <c r="O69" s="259" t="s">
        <v>1598</v>
      </c>
      <c r="P69" s="261"/>
      <c r="Q69" s="2944"/>
      <c r="R69" s="2945"/>
      <c r="S69" s="2946"/>
      <c r="Z69" s="1618">
        <v>69</v>
      </c>
    </row>
    <row r="70" spans="1:26" s="144" customFormat="1" ht="11.25" customHeight="1">
      <c r="E70" s="246" t="s">
        <v>1666</v>
      </c>
      <c r="H70" s="981"/>
      <c r="I70" s="261"/>
      <c r="J70" s="261"/>
      <c r="K70" s="664" t="s">
        <v>2056</v>
      </c>
      <c r="L70" s="3062"/>
      <c r="M70" s="3063"/>
      <c r="N70" s="261"/>
      <c r="O70" s="259" t="s">
        <v>1833</v>
      </c>
      <c r="P70" s="261"/>
      <c r="Q70" s="2944"/>
      <c r="R70" s="2945"/>
      <c r="S70" s="2946"/>
      <c r="Z70" s="1618">
        <v>70</v>
      </c>
    </row>
    <row r="71" spans="1:26" s="144" customFormat="1" ht="11.25" customHeight="1">
      <c r="D71" s="260"/>
      <c r="E71" s="246" t="s">
        <v>3373</v>
      </c>
      <c r="H71" s="3054"/>
      <c r="I71" s="3055"/>
      <c r="J71" s="255"/>
      <c r="K71" s="262" t="s">
        <v>1837</v>
      </c>
      <c r="L71" s="2936"/>
      <c r="M71" s="2937"/>
      <c r="N71" s="2938"/>
      <c r="O71" s="2938"/>
      <c r="P71" s="2938"/>
      <c r="Q71" s="2937"/>
      <c r="R71" s="2937"/>
      <c r="S71" s="298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3"/>
      <c r="I73" s="2989"/>
      <c r="J73" s="2989"/>
      <c r="K73" s="2989"/>
      <c r="L73" s="2989"/>
      <c r="M73" s="2989"/>
      <c r="N73" s="2990"/>
      <c r="O73" s="259" t="s">
        <v>1842</v>
      </c>
      <c r="P73" s="259"/>
      <c r="Q73" s="2933"/>
      <c r="R73" s="2989"/>
      <c r="S73" s="2990"/>
      <c r="Z73" s="1618">
        <v>73</v>
      </c>
    </row>
    <row r="74" spans="1:26" s="144" customFormat="1" ht="11.25" customHeight="1">
      <c r="D74" s="260"/>
      <c r="E74" s="246" t="s">
        <v>956</v>
      </c>
      <c r="F74" s="247"/>
      <c r="H74" s="2950"/>
      <c r="I74" s="3056"/>
      <c r="J74" s="3056"/>
      <c r="K74" s="3057"/>
      <c r="L74" s="3056"/>
      <c r="M74" s="3056"/>
      <c r="N74" s="3058"/>
      <c r="O74" s="259" t="s">
        <v>1621</v>
      </c>
      <c r="P74" s="261"/>
      <c r="Q74" s="3059"/>
      <c r="R74" s="3060"/>
      <c r="S74" s="3061"/>
      <c r="Z74" s="1618">
        <v>74</v>
      </c>
    </row>
    <row r="75" spans="1:26" s="144" customFormat="1" ht="11.25" customHeight="1">
      <c r="D75" s="260"/>
      <c r="E75" s="246" t="s">
        <v>574</v>
      </c>
      <c r="H75" s="2950"/>
      <c r="I75" s="3057"/>
      <c r="J75" s="2986"/>
      <c r="K75" s="262" t="s">
        <v>2451</v>
      </c>
      <c r="L75" s="2950"/>
      <c r="M75" s="3056"/>
      <c r="N75" s="2986"/>
      <c r="O75" s="259" t="s">
        <v>1598</v>
      </c>
      <c r="P75" s="261"/>
      <c r="Q75" s="2944"/>
      <c r="R75" s="2945"/>
      <c r="S75" s="2946"/>
      <c r="Z75" s="1618">
        <v>75</v>
      </c>
    </row>
    <row r="76" spans="1:26" s="144" customFormat="1" ht="11.25" customHeight="1">
      <c r="E76" s="246" t="s">
        <v>1666</v>
      </c>
      <c r="H76" s="981"/>
      <c r="I76" s="261"/>
      <c r="J76" s="261"/>
      <c r="K76" s="664" t="s">
        <v>2056</v>
      </c>
      <c r="L76" s="3062"/>
      <c r="M76" s="3063"/>
      <c r="N76" s="261"/>
      <c r="O76" s="259" t="s">
        <v>1833</v>
      </c>
      <c r="P76" s="261"/>
      <c r="Q76" s="2944"/>
      <c r="R76" s="2945"/>
      <c r="S76" s="2946"/>
      <c r="Z76" s="1618">
        <v>76</v>
      </c>
    </row>
    <row r="77" spans="1:26" s="144" customFormat="1" ht="11.25" customHeight="1">
      <c r="D77" s="260"/>
      <c r="E77" s="246" t="s">
        <v>3373</v>
      </c>
      <c r="H77" s="3054"/>
      <c r="I77" s="3055"/>
      <c r="J77" s="255"/>
      <c r="K77" s="262" t="s">
        <v>1837</v>
      </c>
      <c r="L77" s="2936"/>
      <c r="M77" s="2937"/>
      <c r="N77" s="2938"/>
      <c r="O77" s="2938"/>
      <c r="P77" s="2938"/>
      <c r="Q77" s="2937"/>
      <c r="R77" s="2937"/>
      <c r="S77" s="298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3"/>
      <c r="I81" s="2989"/>
      <c r="J81" s="2989"/>
      <c r="K81" s="2989"/>
      <c r="L81" s="2989"/>
      <c r="M81" s="2989"/>
      <c r="N81" s="2990"/>
      <c r="O81" s="259" t="s">
        <v>1842</v>
      </c>
      <c r="P81" s="259"/>
      <c r="Q81" s="2933"/>
      <c r="R81" s="2989"/>
      <c r="S81" s="2990"/>
      <c r="Z81" s="1618">
        <v>81</v>
      </c>
    </row>
    <row r="82" spans="2:26" s="144" customFormat="1" ht="11.25" customHeight="1">
      <c r="D82" s="260"/>
      <c r="E82" s="246" t="s">
        <v>956</v>
      </c>
      <c r="F82" s="247"/>
      <c r="H82" s="2950"/>
      <c r="I82" s="3056"/>
      <c r="J82" s="3056"/>
      <c r="K82" s="3057"/>
      <c r="L82" s="3056"/>
      <c r="M82" s="3056"/>
      <c r="N82" s="3058"/>
      <c r="O82" s="259" t="s">
        <v>1621</v>
      </c>
      <c r="P82" s="261"/>
      <c r="Q82" s="3059"/>
      <c r="R82" s="3060"/>
      <c r="S82" s="3061"/>
      <c r="Z82" s="1618">
        <v>82</v>
      </c>
    </row>
    <row r="83" spans="2:26" s="144" customFormat="1" ht="11.25" customHeight="1">
      <c r="D83" s="260"/>
      <c r="E83" s="246" t="s">
        <v>574</v>
      </c>
      <c r="H83" s="2950"/>
      <c r="I83" s="3057"/>
      <c r="J83" s="2986"/>
      <c r="K83" s="262" t="s">
        <v>2451</v>
      </c>
      <c r="L83" s="2950"/>
      <c r="M83" s="3056"/>
      <c r="N83" s="2986"/>
      <c r="O83" s="259" t="s">
        <v>1598</v>
      </c>
      <c r="P83" s="261"/>
      <c r="Q83" s="2944"/>
      <c r="R83" s="2945"/>
      <c r="S83" s="2946"/>
      <c r="Z83" s="1618">
        <v>83</v>
      </c>
    </row>
    <row r="84" spans="2:26" s="144" customFormat="1" ht="11.25" customHeight="1">
      <c r="E84" s="246" t="s">
        <v>1666</v>
      </c>
      <c r="H84" s="981"/>
      <c r="I84" s="261"/>
      <c r="J84" s="261"/>
      <c r="K84" s="664" t="s">
        <v>2056</v>
      </c>
      <c r="L84" s="3062"/>
      <c r="M84" s="3063"/>
      <c r="N84" s="261"/>
      <c r="O84" s="259" t="s">
        <v>1833</v>
      </c>
      <c r="P84" s="261"/>
      <c r="Q84" s="2944"/>
      <c r="R84" s="2945"/>
      <c r="S84" s="2946"/>
      <c r="Z84" s="1618">
        <v>84</v>
      </c>
    </row>
    <row r="85" spans="2:26" s="144" customFormat="1" ht="11.25" customHeight="1">
      <c r="D85" s="260"/>
      <c r="E85" s="246" t="s">
        <v>3373</v>
      </c>
      <c r="H85" s="3054"/>
      <c r="I85" s="3055"/>
      <c r="J85" s="255"/>
      <c r="K85" s="262" t="s">
        <v>1837</v>
      </c>
      <c r="L85" s="2936"/>
      <c r="M85" s="2937"/>
      <c r="N85" s="2938"/>
      <c r="O85" s="2938"/>
      <c r="P85" s="2938"/>
      <c r="Q85" s="2937"/>
      <c r="R85" s="2937"/>
      <c r="S85" s="298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3"/>
      <c r="I87" s="2989"/>
      <c r="J87" s="2989"/>
      <c r="K87" s="2989"/>
      <c r="L87" s="2989"/>
      <c r="M87" s="2989"/>
      <c r="N87" s="2990"/>
      <c r="O87" s="259" t="s">
        <v>1842</v>
      </c>
      <c r="P87" s="259"/>
      <c r="Q87" s="2933"/>
      <c r="R87" s="2989"/>
      <c r="S87" s="2990"/>
      <c r="Z87" s="1618">
        <v>87</v>
      </c>
    </row>
    <row r="88" spans="2:26" s="144" customFormat="1" ht="11.25" customHeight="1">
      <c r="D88" s="260"/>
      <c r="E88" s="246" t="s">
        <v>956</v>
      </c>
      <c r="F88" s="247"/>
      <c r="H88" s="2950"/>
      <c r="I88" s="3056"/>
      <c r="J88" s="3056"/>
      <c r="K88" s="3057"/>
      <c r="L88" s="3056"/>
      <c r="M88" s="3056"/>
      <c r="N88" s="3058"/>
      <c r="O88" s="259" t="s">
        <v>1621</v>
      </c>
      <c r="P88" s="261"/>
      <c r="Q88" s="3059"/>
      <c r="R88" s="3060"/>
      <c r="S88" s="3061"/>
      <c r="Z88" s="1618">
        <v>88</v>
      </c>
    </row>
    <row r="89" spans="2:26" s="144" customFormat="1" ht="11.25" customHeight="1">
      <c r="D89" s="260"/>
      <c r="E89" s="246" t="s">
        <v>574</v>
      </c>
      <c r="H89" s="2950"/>
      <c r="I89" s="3057"/>
      <c r="J89" s="2986"/>
      <c r="K89" s="262" t="s">
        <v>2451</v>
      </c>
      <c r="L89" s="2950"/>
      <c r="M89" s="3056"/>
      <c r="N89" s="2986"/>
      <c r="O89" s="259" t="s">
        <v>1598</v>
      </c>
      <c r="P89" s="261"/>
      <c r="Q89" s="2944"/>
      <c r="R89" s="2945"/>
      <c r="S89" s="2946"/>
      <c r="Z89" s="1618">
        <v>89</v>
      </c>
    </row>
    <row r="90" spans="2:26" s="144" customFormat="1" ht="11.25" customHeight="1">
      <c r="E90" s="246" t="s">
        <v>1666</v>
      </c>
      <c r="H90" s="981"/>
      <c r="I90" s="261"/>
      <c r="J90" s="261"/>
      <c r="K90" s="664" t="s">
        <v>2056</v>
      </c>
      <c r="L90" s="3062"/>
      <c r="M90" s="3063"/>
      <c r="N90" s="261"/>
      <c r="O90" s="259" t="s">
        <v>1833</v>
      </c>
      <c r="P90" s="261"/>
      <c r="Q90" s="2944"/>
      <c r="R90" s="2945"/>
      <c r="S90" s="2946"/>
      <c r="Z90" s="1618">
        <v>90</v>
      </c>
    </row>
    <row r="91" spans="2:26" s="144" customFormat="1" ht="11.25" customHeight="1">
      <c r="D91" s="260"/>
      <c r="E91" s="246" t="s">
        <v>3373</v>
      </c>
      <c r="H91" s="3054"/>
      <c r="I91" s="3055"/>
      <c r="J91" s="255"/>
      <c r="K91" s="262" t="s">
        <v>1837</v>
      </c>
      <c r="L91" s="2936"/>
      <c r="M91" s="2937"/>
      <c r="N91" s="2938"/>
      <c r="O91" s="2938"/>
      <c r="P91" s="2938"/>
      <c r="Q91" s="2937"/>
      <c r="R91" s="2937"/>
      <c r="S91" s="298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3"/>
      <c r="I93" s="2989"/>
      <c r="J93" s="2989"/>
      <c r="K93" s="2989"/>
      <c r="L93" s="2989"/>
      <c r="M93" s="2989"/>
      <c r="N93" s="2990"/>
      <c r="O93" s="259" t="s">
        <v>1842</v>
      </c>
      <c r="P93" s="259"/>
      <c r="Q93" s="2933"/>
      <c r="R93" s="2989"/>
      <c r="S93" s="2990"/>
      <c r="Z93" s="1618">
        <v>93</v>
      </c>
    </row>
    <row r="94" spans="2:26" s="144" customFormat="1" ht="11.25" customHeight="1">
      <c r="D94" s="260"/>
      <c r="E94" s="246" t="s">
        <v>956</v>
      </c>
      <c r="F94" s="247"/>
      <c r="H94" s="2950"/>
      <c r="I94" s="3056"/>
      <c r="J94" s="3056"/>
      <c r="K94" s="3057"/>
      <c r="L94" s="3056"/>
      <c r="M94" s="3056"/>
      <c r="N94" s="3058"/>
      <c r="O94" s="259" t="s">
        <v>1621</v>
      </c>
      <c r="P94" s="261"/>
      <c r="Q94" s="3059"/>
      <c r="R94" s="3060"/>
      <c r="S94" s="3061"/>
      <c r="Z94" s="1618">
        <v>94</v>
      </c>
    </row>
    <row r="95" spans="2:26" s="144" customFormat="1" ht="11.25" customHeight="1">
      <c r="D95" s="260"/>
      <c r="E95" s="246" t="s">
        <v>574</v>
      </c>
      <c r="H95" s="2950"/>
      <c r="I95" s="3057"/>
      <c r="J95" s="2986"/>
      <c r="K95" s="262" t="s">
        <v>2451</v>
      </c>
      <c r="L95" s="2950"/>
      <c r="M95" s="3056"/>
      <c r="N95" s="2986"/>
      <c r="O95" s="259" t="s">
        <v>1598</v>
      </c>
      <c r="P95" s="261"/>
      <c r="Q95" s="2944"/>
      <c r="R95" s="2945"/>
      <c r="S95" s="2946"/>
      <c r="Z95" s="1618">
        <v>95</v>
      </c>
    </row>
    <row r="96" spans="2:26" s="144" customFormat="1" ht="11.25" customHeight="1">
      <c r="D96" s="260"/>
      <c r="E96" s="246" t="s">
        <v>1666</v>
      </c>
      <c r="H96" s="981"/>
      <c r="I96" s="261"/>
      <c r="J96" s="261"/>
      <c r="K96" s="664" t="s">
        <v>2056</v>
      </c>
      <c r="L96" s="3062"/>
      <c r="M96" s="3063"/>
      <c r="N96" s="261"/>
      <c r="O96" s="259" t="s">
        <v>1833</v>
      </c>
      <c r="P96" s="261"/>
      <c r="Q96" s="2944"/>
      <c r="R96" s="2945"/>
      <c r="S96" s="2946"/>
      <c r="Z96" s="1618">
        <v>96</v>
      </c>
    </row>
    <row r="97" spans="2:26" s="144" customFormat="1" ht="11.25" customHeight="1">
      <c r="D97" s="260"/>
      <c r="E97" s="246" t="s">
        <v>3373</v>
      </c>
      <c r="H97" s="3054"/>
      <c r="I97" s="3055"/>
      <c r="J97" s="255"/>
      <c r="K97" s="262" t="s">
        <v>1837</v>
      </c>
      <c r="L97" s="2936"/>
      <c r="M97" s="2937"/>
      <c r="N97" s="2938"/>
      <c r="O97" s="2938"/>
      <c r="P97" s="2938"/>
      <c r="Q97" s="2937"/>
      <c r="R97" s="2937"/>
      <c r="S97" s="298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3"/>
      <c r="I99" s="2989"/>
      <c r="J99" s="2989"/>
      <c r="K99" s="2989"/>
      <c r="L99" s="2989"/>
      <c r="M99" s="2989"/>
      <c r="N99" s="2990"/>
      <c r="O99" s="259" t="s">
        <v>1842</v>
      </c>
      <c r="P99" s="259"/>
      <c r="Q99" s="2933"/>
      <c r="R99" s="2989"/>
      <c r="S99" s="2990"/>
      <c r="Z99" s="1618">
        <v>99</v>
      </c>
    </row>
    <row r="100" spans="2:26" s="144" customFormat="1" ht="11.25" customHeight="1">
      <c r="D100" s="260"/>
      <c r="E100" s="246" t="s">
        <v>956</v>
      </c>
      <c r="F100" s="247"/>
      <c r="H100" s="2950"/>
      <c r="I100" s="3056"/>
      <c r="J100" s="3056"/>
      <c r="K100" s="3057"/>
      <c r="L100" s="3056"/>
      <c r="M100" s="3056"/>
      <c r="N100" s="3058"/>
      <c r="O100" s="259" t="s">
        <v>1621</v>
      </c>
      <c r="P100" s="261"/>
      <c r="Q100" s="3059"/>
      <c r="R100" s="3060"/>
      <c r="S100" s="3061"/>
      <c r="Z100" s="1618">
        <v>100</v>
      </c>
    </row>
    <row r="101" spans="2:26" s="144" customFormat="1" ht="11.25" customHeight="1">
      <c r="D101" s="260"/>
      <c r="E101" s="246" t="s">
        <v>574</v>
      </c>
      <c r="H101" s="2950"/>
      <c r="I101" s="3057"/>
      <c r="J101" s="2986"/>
      <c r="K101" s="262" t="s">
        <v>2451</v>
      </c>
      <c r="L101" s="2950"/>
      <c r="M101" s="3056"/>
      <c r="N101" s="2986"/>
      <c r="O101" s="259" t="s">
        <v>1598</v>
      </c>
      <c r="P101" s="261"/>
      <c r="Q101" s="2944"/>
      <c r="R101" s="2945"/>
      <c r="S101" s="2946"/>
      <c r="Z101" s="1618">
        <v>101</v>
      </c>
    </row>
    <row r="102" spans="2:26" s="144" customFormat="1" ht="11.25" customHeight="1">
      <c r="D102" s="260"/>
      <c r="E102" s="246" t="s">
        <v>1666</v>
      </c>
      <c r="H102" s="981"/>
      <c r="I102" s="261"/>
      <c r="J102" s="261"/>
      <c r="K102" s="664" t="s">
        <v>2056</v>
      </c>
      <c r="L102" s="3062"/>
      <c r="M102" s="3063"/>
      <c r="N102" s="261"/>
      <c r="O102" s="259" t="s">
        <v>1833</v>
      </c>
      <c r="P102" s="261"/>
      <c r="Q102" s="2944"/>
      <c r="R102" s="2945"/>
      <c r="S102" s="2946"/>
      <c r="Z102" s="1618">
        <v>102</v>
      </c>
    </row>
    <row r="103" spans="2:26" ht="11.25" customHeight="1">
      <c r="E103" s="246" t="s">
        <v>3373</v>
      </c>
      <c r="F103" s="144"/>
      <c r="G103" s="144"/>
      <c r="H103" s="3054"/>
      <c r="I103" s="3055"/>
      <c r="J103" s="255"/>
      <c r="K103" s="262" t="s">
        <v>1837</v>
      </c>
      <c r="L103" s="2936"/>
      <c r="M103" s="2937"/>
      <c r="N103" s="2938"/>
      <c r="O103" s="2938"/>
      <c r="P103" s="2938"/>
      <c r="Q103" s="2937"/>
      <c r="R103" s="2937"/>
      <c r="S103" s="298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3"/>
      <c r="I105" s="2989"/>
      <c r="J105" s="2989"/>
      <c r="K105" s="2989"/>
      <c r="L105" s="2989"/>
      <c r="M105" s="2989"/>
      <c r="N105" s="2990"/>
      <c r="O105" s="259" t="s">
        <v>1842</v>
      </c>
      <c r="P105" s="259"/>
      <c r="Q105" s="2933"/>
      <c r="R105" s="2989"/>
      <c r="S105" s="2990"/>
      <c r="Z105" s="1618">
        <v>105</v>
      </c>
    </row>
    <row r="106" spans="2:26" s="144" customFormat="1" ht="11.25" customHeight="1">
      <c r="D106" s="260"/>
      <c r="E106" s="246" t="s">
        <v>956</v>
      </c>
      <c r="F106" s="247"/>
      <c r="H106" s="2950"/>
      <c r="I106" s="3056"/>
      <c r="J106" s="3056"/>
      <c r="K106" s="3057"/>
      <c r="L106" s="3056"/>
      <c r="M106" s="3056"/>
      <c r="N106" s="3058"/>
      <c r="O106" s="259" t="s">
        <v>1621</v>
      </c>
      <c r="P106" s="261"/>
      <c r="Q106" s="3059"/>
      <c r="R106" s="3060"/>
      <c r="S106" s="3061"/>
      <c r="Z106" s="1618">
        <v>106</v>
      </c>
    </row>
    <row r="107" spans="2:26" s="144" customFormat="1" ht="11.25" customHeight="1">
      <c r="D107" s="260"/>
      <c r="E107" s="246" t="s">
        <v>574</v>
      </c>
      <c r="H107" s="2950"/>
      <c r="I107" s="3057"/>
      <c r="J107" s="2986"/>
      <c r="K107" s="262" t="s">
        <v>2451</v>
      </c>
      <c r="L107" s="2950"/>
      <c r="M107" s="3056"/>
      <c r="N107" s="2986"/>
      <c r="O107" s="259" t="s">
        <v>1598</v>
      </c>
      <c r="P107" s="261"/>
      <c r="Q107" s="2944"/>
      <c r="R107" s="2945"/>
      <c r="S107" s="2946"/>
      <c r="Z107" s="1618">
        <v>107</v>
      </c>
    </row>
    <row r="108" spans="2:26" s="144" customFormat="1" ht="11.25" customHeight="1">
      <c r="D108" s="260"/>
      <c r="E108" s="246" t="s">
        <v>1666</v>
      </c>
      <c r="H108" s="981"/>
      <c r="I108" s="261"/>
      <c r="J108" s="261"/>
      <c r="K108" s="664" t="s">
        <v>2056</v>
      </c>
      <c r="L108" s="3062"/>
      <c r="M108" s="3063"/>
      <c r="N108" s="261"/>
      <c r="O108" s="259" t="s">
        <v>1833</v>
      </c>
      <c r="P108" s="261"/>
      <c r="Q108" s="2944"/>
      <c r="R108" s="2945"/>
      <c r="S108" s="2946"/>
      <c r="Z108" s="1618">
        <v>108</v>
      </c>
    </row>
    <row r="109" spans="2:26" ht="11.25" customHeight="1">
      <c r="E109" s="246" t="s">
        <v>3373</v>
      </c>
      <c r="F109" s="144"/>
      <c r="G109" s="144"/>
      <c r="H109" s="3054"/>
      <c r="I109" s="3055"/>
      <c r="J109" s="255"/>
      <c r="K109" s="262" t="s">
        <v>1837</v>
      </c>
      <c r="L109" s="2936"/>
      <c r="M109" s="2937"/>
      <c r="N109" s="2938"/>
      <c r="O109" s="2938"/>
      <c r="P109" s="2938"/>
      <c r="Q109" s="2937"/>
      <c r="R109" s="2937"/>
      <c r="S109" s="298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3"/>
      <c r="I111" s="2989"/>
      <c r="J111" s="2989"/>
      <c r="K111" s="2989"/>
      <c r="L111" s="2989"/>
      <c r="M111" s="2989"/>
      <c r="N111" s="2990"/>
      <c r="O111" s="259" t="s">
        <v>1842</v>
      </c>
      <c r="P111" s="259"/>
      <c r="Q111" s="2933"/>
      <c r="R111" s="2989"/>
      <c r="S111" s="2990"/>
      <c r="Z111" s="1618">
        <v>111</v>
      </c>
    </row>
    <row r="112" spans="2:26" s="144" customFormat="1" ht="11.25" customHeight="1">
      <c r="D112" s="260"/>
      <c r="E112" s="246" t="s">
        <v>956</v>
      </c>
      <c r="F112" s="247"/>
      <c r="H112" s="2950"/>
      <c r="I112" s="3056"/>
      <c r="J112" s="3056"/>
      <c r="K112" s="3057"/>
      <c r="L112" s="3056"/>
      <c r="M112" s="3056"/>
      <c r="N112" s="3058"/>
      <c r="O112" s="259" t="s">
        <v>1621</v>
      </c>
      <c r="P112" s="261"/>
      <c r="Q112" s="3059"/>
      <c r="R112" s="3060"/>
      <c r="S112" s="3061"/>
      <c r="Z112" s="1618">
        <v>112</v>
      </c>
    </row>
    <row r="113" spans="1:26" s="144" customFormat="1" ht="11.25" customHeight="1">
      <c r="D113" s="260"/>
      <c r="E113" s="246" t="s">
        <v>574</v>
      </c>
      <c r="H113" s="2950"/>
      <c r="I113" s="3057"/>
      <c r="J113" s="2986"/>
      <c r="K113" s="262" t="s">
        <v>2451</v>
      </c>
      <c r="L113" s="2950"/>
      <c r="M113" s="3056"/>
      <c r="N113" s="2986"/>
      <c r="O113" s="259" t="s">
        <v>1598</v>
      </c>
      <c r="P113" s="261"/>
      <c r="Q113" s="2944"/>
      <c r="R113" s="2945"/>
      <c r="S113" s="2946"/>
      <c r="Z113" s="1618">
        <v>113</v>
      </c>
    </row>
    <row r="114" spans="1:26" s="144" customFormat="1" ht="11.25" customHeight="1">
      <c r="D114" s="260"/>
      <c r="E114" s="246" t="s">
        <v>1666</v>
      </c>
      <c r="H114" s="981"/>
      <c r="I114" s="261"/>
      <c r="J114" s="261"/>
      <c r="K114" s="664" t="s">
        <v>2056</v>
      </c>
      <c r="L114" s="3062"/>
      <c r="M114" s="3063"/>
      <c r="N114" s="261"/>
      <c r="O114" s="259" t="s">
        <v>1833</v>
      </c>
      <c r="P114" s="261"/>
      <c r="Q114" s="2944"/>
      <c r="R114" s="2945"/>
      <c r="S114" s="2946"/>
      <c r="Z114" s="1618">
        <v>114</v>
      </c>
    </row>
    <row r="115" spans="1:26" s="144" customFormat="1" ht="11.25" customHeight="1">
      <c r="D115" s="260"/>
      <c r="E115" s="246" t="s">
        <v>3373</v>
      </c>
      <c r="H115" s="3054"/>
      <c r="I115" s="3055"/>
      <c r="J115" s="255"/>
      <c r="K115" s="262" t="s">
        <v>1837</v>
      </c>
      <c r="L115" s="2936"/>
      <c r="M115" s="2937"/>
      <c r="N115" s="2938"/>
      <c r="O115" s="2938"/>
      <c r="P115" s="2938"/>
      <c r="Q115" s="2937"/>
      <c r="R115" s="2937"/>
      <c r="S115" s="298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3"/>
      <c r="I120" s="2934"/>
      <c r="J120" s="2935"/>
      <c r="K120" s="262" t="s">
        <v>1665</v>
      </c>
      <c r="L120" s="2933"/>
      <c r="M120" s="2989"/>
      <c r="N120" s="2990"/>
      <c r="O120" s="259" t="s">
        <v>3056</v>
      </c>
      <c r="P120" s="261"/>
      <c r="Q120" s="2991"/>
      <c r="R120" s="2992"/>
      <c r="S120" s="2993"/>
      <c r="Z120" s="1618">
        <v>120</v>
      </c>
    </row>
    <row r="121" spans="1:26" s="144" customFormat="1" ht="11.25" customHeight="1">
      <c r="C121" s="243"/>
      <c r="D121" s="260"/>
      <c r="E121" s="246" t="s">
        <v>4120</v>
      </c>
      <c r="F121" s="247"/>
      <c r="H121" s="2977"/>
      <c r="I121" s="2978"/>
      <c r="J121" s="2979"/>
      <c r="K121" s="2980"/>
      <c r="L121" s="2978"/>
      <c r="M121" s="2978"/>
      <c r="N121" s="2981"/>
      <c r="O121" s="259" t="s">
        <v>574</v>
      </c>
      <c r="P121" s="261"/>
      <c r="Q121" s="2982"/>
      <c r="R121" s="2983"/>
      <c r="S121" s="2984"/>
      <c r="Z121" s="1618">
        <v>121</v>
      </c>
    </row>
    <row r="122" spans="1:26" s="144" customFormat="1" ht="11.25" customHeight="1">
      <c r="C122" s="243"/>
      <c r="D122" s="260"/>
      <c r="E122" s="246" t="s">
        <v>1666</v>
      </c>
      <c r="H122" s="1198"/>
      <c r="I122" s="664" t="s">
        <v>2056</v>
      </c>
      <c r="J122" s="2985"/>
      <c r="K122" s="2986"/>
      <c r="L122" s="262" t="s">
        <v>1837</v>
      </c>
      <c r="M122" s="2987"/>
      <c r="N122" s="2938"/>
      <c r="O122" s="2938"/>
      <c r="P122" s="2938"/>
      <c r="Q122" s="2937"/>
      <c r="R122" s="2937"/>
      <c r="S122" s="298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3"/>
      <c r="I124" s="2934"/>
      <c r="J124" s="2935"/>
      <c r="K124" s="262" t="s">
        <v>1665</v>
      </c>
      <c r="L124" s="2933"/>
      <c r="M124" s="2989"/>
      <c r="N124" s="2990"/>
      <c r="O124" s="259" t="s">
        <v>3056</v>
      </c>
      <c r="P124" s="261"/>
      <c r="Q124" s="2991"/>
      <c r="R124" s="2992"/>
      <c r="S124" s="2993"/>
      <c r="Z124" s="1618">
        <v>124</v>
      </c>
    </row>
    <row r="125" spans="1:26" s="144" customFormat="1" ht="11.25" hidden="1" customHeight="1">
      <c r="C125" s="243"/>
      <c r="D125" s="260"/>
      <c r="E125" s="246" t="s">
        <v>4120</v>
      </c>
      <c r="F125" s="247"/>
      <c r="H125" s="2977"/>
      <c r="I125" s="2978"/>
      <c r="J125" s="2979"/>
      <c r="K125" s="2980"/>
      <c r="L125" s="2978"/>
      <c r="M125" s="2978"/>
      <c r="N125" s="2981"/>
      <c r="O125" s="259" t="s">
        <v>574</v>
      </c>
      <c r="P125" s="261"/>
      <c r="Q125" s="2982"/>
      <c r="R125" s="2983"/>
      <c r="S125" s="2984"/>
      <c r="Z125" s="1618">
        <v>125</v>
      </c>
    </row>
    <row r="126" spans="1:26" s="144" customFormat="1" ht="11.25" hidden="1" customHeight="1">
      <c r="C126" s="243"/>
      <c r="D126" s="260"/>
      <c r="E126" s="246" t="s">
        <v>1666</v>
      </c>
      <c r="H126" s="1198"/>
      <c r="I126" s="664" t="s">
        <v>2056</v>
      </c>
      <c r="J126" s="2985"/>
      <c r="K126" s="2986"/>
      <c r="L126" s="262" t="s">
        <v>1837</v>
      </c>
      <c r="M126" s="2987"/>
      <c r="N126" s="2938"/>
      <c r="O126" s="2938"/>
      <c r="P126" s="2938"/>
      <c r="Q126" s="2937"/>
      <c r="R126" s="2937"/>
      <c r="S126" s="298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3"/>
      <c r="I128" s="2934"/>
      <c r="J128" s="2935"/>
      <c r="K128" s="262" t="s">
        <v>1665</v>
      </c>
      <c r="L128" s="2933"/>
      <c r="M128" s="2989"/>
      <c r="N128" s="2990"/>
      <c r="O128" s="259" t="s">
        <v>3056</v>
      </c>
      <c r="P128" s="261"/>
      <c r="Q128" s="2991"/>
      <c r="R128" s="2992"/>
      <c r="S128" s="2993"/>
      <c r="Z128" s="1618">
        <v>128</v>
      </c>
    </row>
    <row r="129" spans="3:26" s="144" customFormat="1" ht="11.25" hidden="1" customHeight="1">
      <c r="C129" s="243"/>
      <c r="D129" s="260"/>
      <c r="E129" s="246" t="s">
        <v>4120</v>
      </c>
      <c r="F129" s="247"/>
      <c r="H129" s="2977"/>
      <c r="I129" s="2978"/>
      <c r="J129" s="2979"/>
      <c r="K129" s="2980"/>
      <c r="L129" s="2978"/>
      <c r="M129" s="2978"/>
      <c r="N129" s="2981"/>
      <c r="O129" s="259" t="s">
        <v>574</v>
      </c>
      <c r="P129" s="261"/>
      <c r="Q129" s="2982"/>
      <c r="R129" s="2983"/>
      <c r="S129" s="2984"/>
      <c r="Z129" s="1618">
        <v>129</v>
      </c>
    </row>
    <row r="130" spans="3:26" s="144" customFormat="1" ht="11.25" hidden="1" customHeight="1">
      <c r="C130" s="243"/>
      <c r="D130" s="260"/>
      <c r="E130" s="246" t="s">
        <v>1666</v>
      </c>
      <c r="H130" s="1198"/>
      <c r="I130" s="664" t="s">
        <v>2056</v>
      </c>
      <c r="J130" s="2985"/>
      <c r="K130" s="2986"/>
      <c r="L130" s="262" t="s">
        <v>1837</v>
      </c>
      <c r="M130" s="2987"/>
      <c r="N130" s="2938"/>
      <c r="O130" s="2938"/>
      <c r="P130" s="2938"/>
      <c r="Q130" s="2937"/>
      <c r="R130" s="2937"/>
      <c r="S130" s="298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3"/>
      <c r="I132" s="2934"/>
      <c r="J132" s="2935"/>
      <c r="K132" s="262" t="s">
        <v>1665</v>
      </c>
      <c r="L132" s="2933"/>
      <c r="M132" s="2989"/>
      <c r="N132" s="2990"/>
      <c r="O132" s="259" t="s">
        <v>3056</v>
      </c>
      <c r="P132" s="261"/>
      <c r="Q132" s="2991"/>
      <c r="R132" s="2992"/>
      <c r="S132" s="2993"/>
      <c r="Z132" s="1618">
        <v>132</v>
      </c>
    </row>
    <row r="133" spans="3:26" s="144" customFormat="1" ht="11.25" hidden="1" customHeight="1">
      <c r="C133" s="243"/>
      <c r="D133" s="260"/>
      <c r="E133" s="246" t="s">
        <v>4120</v>
      </c>
      <c r="F133" s="247"/>
      <c r="H133" s="2977"/>
      <c r="I133" s="2978"/>
      <c r="J133" s="2979"/>
      <c r="K133" s="2980"/>
      <c r="L133" s="2978"/>
      <c r="M133" s="2978"/>
      <c r="N133" s="2981"/>
      <c r="O133" s="259" t="s">
        <v>574</v>
      </c>
      <c r="P133" s="261"/>
      <c r="Q133" s="2982"/>
      <c r="R133" s="2983"/>
      <c r="S133" s="2984"/>
      <c r="Z133" s="1618">
        <v>133</v>
      </c>
    </row>
    <row r="134" spans="3:26" s="144" customFormat="1" ht="11.25" hidden="1" customHeight="1">
      <c r="C134" s="243"/>
      <c r="D134" s="260"/>
      <c r="E134" s="246" t="s">
        <v>1666</v>
      </c>
      <c r="H134" s="1198"/>
      <c r="I134" s="664" t="s">
        <v>2056</v>
      </c>
      <c r="J134" s="2985"/>
      <c r="K134" s="2986"/>
      <c r="L134" s="262" t="s">
        <v>1837</v>
      </c>
      <c r="M134" s="2987"/>
      <c r="N134" s="2938"/>
      <c r="O134" s="2938"/>
      <c r="P134" s="2938"/>
      <c r="Q134" s="2937"/>
      <c r="R134" s="2937"/>
      <c r="S134" s="298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3"/>
      <c r="I136" s="2934"/>
      <c r="J136" s="2935"/>
      <c r="K136" s="262" t="s">
        <v>1665</v>
      </c>
      <c r="L136" s="2933"/>
      <c r="M136" s="2989"/>
      <c r="N136" s="2990"/>
      <c r="O136" s="259" t="s">
        <v>3056</v>
      </c>
      <c r="P136" s="261"/>
      <c r="Q136" s="2991"/>
      <c r="R136" s="2992"/>
      <c r="S136" s="2993"/>
      <c r="Z136" s="1618">
        <v>136</v>
      </c>
    </row>
    <row r="137" spans="3:26" s="144" customFormat="1" ht="11.25" hidden="1" customHeight="1">
      <c r="C137" s="243"/>
      <c r="D137" s="260"/>
      <c r="E137" s="246" t="s">
        <v>4120</v>
      </c>
      <c r="F137" s="247"/>
      <c r="H137" s="2977"/>
      <c r="I137" s="2978"/>
      <c r="J137" s="2979"/>
      <c r="K137" s="2980"/>
      <c r="L137" s="2978"/>
      <c r="M137" s="2978"/>
      <c r="N137" s="2981"/>
      <c r="O137" s="259" t="s">
        <v>574</v>
      </c>
      <c r="P137" s="261"/>
      <c r="Q137" s="2982"/>
      <c r="R137" s="2983"/>
      <c r="S137" s="2984"/>
      <c r="Z137" s="1618">
        <v>137</v>
      </c>
    </row>
    <row r="138" spans="3:26" s="144" customFormat="1" ht="11.25" hidden="1" customHeight="1">
      <c r="C138" s="243"/>
      <c r="D138" s="260"/>
      <c r="E138" s="246" t="s">
        <v>1666</v>
      </c>
      <c r="H138" s="1198"/>
      <c r="I138" s="664" t="s">
        <v>2056</v>
      </c>
      <c r="J138" s="2985"/>
      <c r="K138" s="2986"/>
      <c r="L138" s="262" t="s">
        <v>1837</v>
      </c>
      <c r="M138" s="2987"/>
      <c r="N138" s="2938"/>
      <c r="O138" s="2938"/>
      <c r="P138" s="2938"/>
      <c r="Q138" s="2937"/>
      <c r="R138" s="2937"/>
      <c r="S138" s="298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3"/>
      <c r="I140" s="2934"/>
      <c r="J140" s="2935"/>
      <c r="K140" s="262" t="s">
        <v>1665</v>
      </c>
      <c r="L140" s="2933"/>
      <c r="M140" s="2989"/>
      <c r="N140" s="2990"/>
      <c r="O140" s="259" t="s">
        <v>3056</v>
      </c>
      <c r="P140" s="261"/>
      <c r="Q140" s="2991"/>
      <c r="R140" s="2992"/>
      <c r="S140" s="2993"/>
      <c r="Z140" s="1618">
        <v>140</v>
      </c>
    </row>
    <row r="141" spans="3:26" s="144" customFormat="1" ht="11.25" hidden="1" customHeight="1">
      <c r="C141" s="243"/>
      <c r="D141" s="260"/>
      <c r="E141" s="246" t="s">
        <v>4120</v>
      </c>
      <c r="F141" s="247"/>
      <c r="H141" s="2977"/>
      <c r="I141" s="2978"/>
      <c r="J141" s="2979"/>
      <c r="K141" s="2980"/>
      <c r="L141" s="2978"/>
      <c r="M141" s="2978"/>
      <c r="N141" s="2981"/>
      <c r="O141" s="259" t="s">
        <v>574</v>
      </c>
      <c r="P141" s="261"/>
      <c r="Q141" s="2982"/>
      <c r="R141" s="2983"/>
      <c r="S141" s="2984"/>
      <c r="Z141" s="1618">
        <v>141</v>
      </c>
    </row>
    <row r="142" spans="3:26" s="144" customFormat="1" ht="11.25" hidden="1" customHeight="1">
      <c r="C142" s="243"/>
      <c r="D142" s="260"/>
      <c r="E142" s="246" t="s">
        <v>1666</v>
      </c>
      <c r="H142" s="1198"/>
      <c r="I142" s="664" t="s">
        <v>2056</v>
      </c>
      <c r="J142" s="2985"/>
      <c r="K142" s="2986"/>
      <c r="L142" s="262" t="s">
        <v>1837</v>
      </c>
      <c r="M142" s="2987"/>
      <c r="N142" s="2938"/>
      <c r="O142" s="2938"/>
      <c r="P142" s="2938"/>
      <c r="Q142" s="2937"/>
      <c r="R142" s="2937"/>
      <c r="S142" s="298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3"/>
      <c r="I144" s="2934"/>
      <c r="J144" s="2935"/>
      <c r="K144" s="262" t="s">
        <v>1665</v>
      </c>
      <c r="L144" s="2933"/>
      <c r="M144" s="2989"/>
      <c r="N144" s="2990"/>
      <c r="O144" s="259" t="s">
        <v>3056</v>
      </c>
      <c r="P144" s="261"/>
      <c r="Q144" s="2991"/>
      <c r="R144" s="2992"/>
      <c r="S144" s="2993"/>
      <c r="Z144" s="1618">
        <v>144</v>
      </c>
    </row>
    <row r="145" spans="1:26" s="144" customFormat="1" ht="11.25" customHeight="1">
      <c r="C145" s="243"/>
      <c r="D145" s="260"/>
      <c r="E145" s="246" t="s">
        <v>4120</v>
      </c>
      <c r="F145" s="247"/>
      <c r="H145" s="2977"/>
      <c r="I145" s="2978"/>
      <c r="J145" s="2979"/>
      <c r="K145" s="2980"/>
      <c r="L145" s="2978"/>
      <c r="M145" s="2978"/>
      <c r="N145" s="2981"/>
      <c r="O145" s="259" t="s">
        <v>574</v>
      </c>
      <c r="P145" s="261"/>
      <c r="Q145" s="2982"/>
      <c r="R145" s="2983"/>
      <c r="S145" s="2984"/>
      <c r="Z145" s="1618">
        <v>145</v>
      </c>
    </row>
    <row r="146" spans="1:26" s="144" customFormat="1" ht="11.25" customHeight="1">
      <c r="C146" s="243"/>
      <c r="D146" s="260"/>
      <c r="E146" s="246" t="s">
        <v>1666</v>
      </c>
      <c r="H146" s="1198"/>
      <c r="I146" s="664" t="s">
        <v>2056</v>
      </c>
      <c r="J146" s="2985"/>
      <c r="K146" s="2986"/>
      <c r="L146" s="262" t="s">
        <v>1837</v>
      </c>
      <c r="M146" s="2987"/>
      <c r="N146" s="2938"/>
      <c r="O146" s="2938"/>
      <c r="P146" s="2938"/>
      <c r="Q146" s="2937"/>
      <c r="R146" s="2937"/>
      <c r="S146" s="298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3"/>
      <c r="I148" s="2934"/>
      <c r="J148" s="2935"/>
      <c r="K148" s="262" t="s">
        <v>1665</v>
      </c>
      <c r="L148" s="2933"/>
      <c r="M148" s="2989"/>
      <c r="N148" s="2990"/>
      <c r="O148" s="259" t="s">
        <v>3056</v>
      </c>
      <c r="P148" s="261"/>
      <c r="Q148" s="2991"/>
      <c r="R148" s="2992"/>
      <c r="S148" s="2993"/>
      <c r="Z148" s="1618">
        <v>148</v>
      </c>
    </row>
    <row r="149" spans="1:26" s="144" customFormat="1" ht="11.25" customHeight="1">
      <c r="D149" s="260"/>
      <c r="E149" s="246" t="s">
        <v>4120</v>
      </c>
      <c r="F149" s="247"/>
      <c r="H149" s="2977"/>
      <c r="I149" s="2978"/>
      <c r="J149" s="2979"/>
      <c r="K149" s="2980"/>
      <c r="L149" s="2978"/>
      <c r="M149" s="2978"/>
      <c r="N149" s="2981"/>
      <c r="O149" s="259" t="s">
        <v>574</v>
      </c>
      <c r="P149" s="261"/>
      <c r="Q149" s="2982"/>
      <c r="R149" s="2983"/>
      <c r="S149" s="2984"/>
      <c r="Z149" s="1618">
        <v>149</v>
      </c>
    </row>
    <row r="150" spans="1:26" s="144" customFormat="1" ht="11.25" customHeight="1">
      <c r="D150" s="260"/>
      <c r="E150" s="246" t="s">
        <v>1666</v>
      </c>
      <c r="H150" s="1198"/>
      <c r="I150" s="664" t="s">
        <v>2056</v>
      </c>
      <c r="J150" s="2985"/>
      <c r="K150" s="2986"/>
      <c r="L150" s="262" t="s">
        <v>1837</v>
      </c>
      <c r="M150" s="2987"/>
      <c r="N150" s="2938"/>
      <c r="O150" s="2938"/>
      <c r="P150" s="2938"/>
      <c r="Q150" s="2937"/>
      <c r="R150" s="2937"/>
      <c r="S150" s="298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2994" t="s">
        <v>3213</v>
      </c>
      <c r="B153" s="2994"/>
      <c r="C153" s="2994"/>
      <c r="D153" s="2994"/>
      <c r="E153" s="2994"/>
      <c r="H153" s="1200" t="s">
        <v>2302</v>
      </c>
      <c r="I153" s="2971" t="s">
        <v>4412</v>
      </c>
      <c r="J153" s="2972"/>
      <c r="K153" s="2972"/>
      <c r="L153" s="2972"/>
      <c r="M153" s="2972"/>
      <c r="N153" s="2972"/>
      <c r="O153" s="2972"/>
      <c r="P153" s="2972"/>
      <c r="Q153" s="2972"/>
      <c r="R153" s="2972"/>
      <c r="S153" s="2973"/>
      <c r="Z153" s="1618">
        <v>153</v>
      </c>
    </row>
    <row r="154" spans="1:26" s="144" customFormat="1" ht="15" customHeight="1" thickBot="1">
      <c r="B154" s="475" t="s">
        <v>1839</v>
      </c>
      <c r="C154" s="256" t="s">
        <v>2513</v>
      </c>
      <c r="E154" s="256"/>
      <c r="H154" s="1157" t="s">
        <v>3715</v>
      </c>
      <c r="I154" s="3078"/>
      <c r="J154" s="2999"/>
      <c r="K154" s="2999"/>
      <c r="L154" s="2999"/>
      <c r="M154" s="2999"/>
      <c r="N154" s="2999"/>
      <c r="O154" s="2999"/>
      <c r="P154" s="2999"/>
      <c r="Q154" s="2999"/>
      <c r="R154" s="2999"/>
      <c r="S154" s="3001"/>
      <c r="U154" s="2908" t="s">
        <v>1878</v>
      </c>
      <c r="V154" s="2908"/>
      <c r="Z154" s="1618">
        <v>154</v>
      </c>
    </row>
    <row r="155" spans="1:26" s="144" customFormat="1" ht="15" customHeight="1" thickBot="1">
      <c r="B155" s="475" t="s">
        <v>1841</v>
      </c>
      <c r="C155" s="256" t="s">
        <v>4118</v>
      </c>
      <c r="E155" s="256"/>
      <c r="H155" s="1157" t="s">
        <v>3715</v>
      </c>
      <c r="I155" s="3077"/>
      <c r="J155" s="3006"/>
      <c r="K155" s="3006"/>
      <c r="L155" s="3006"/>
      <c r="M155" s="3006"/>
      <c r="N155" s="3006"/>
      <c r="O155" s="3006"/>
      <c r="P155" s="3006"/>
      <c r="Q155" s="3006"/>
      <c r="R155" s="3006"/>
      <c r="S155" s="3008"/>
      <c r="U155" s="2908"/>
      <c r="V155" s="2908"/>
      <c r="Z155" s="1618">
        <v>155</v>
      </c>
    </row>
    <row r="156" spans="1:26" s="144" customFormat="1" ht="15" customHeight="1" thickBot="1">
      <c r="B156" s="475" t="s">
        <v>2326</v>
      </c>
      <c r="C156" s="256" t="s">
        <v>2549</v>
      </c>
      <c r="E156" s="256"/>
      <c r="H156" s="1157" t="s">
        <v>3715</v>
      </c>
      <c r="I156" s="3077"/>
      <c r="J156" s="3006"/>
      <c r="K156" s="3006"/>
      <c r="L156" s="3006"/>
      <c r="M156" s="3006"/>
      <c r="N156" s="3006"/>
      <c r="O156" s="3006"/>
      <c r="P156" s="3006"/>
      <c r="Q156" s="3006"/>
      <c r="R156" s="3006"/>
      <c r="S156" s="3008"/>
      <c r="U156" s="2908"/>
      <c r="V156" s="2908"/>
      <c r="Z156" s="1618">
        <v>156</v>
      </c>
    </row>
    <row r="157" spans="1:26" s="144" customFormat="1" ht="15" customHeight="1" thickBot="1">
      <c r="B157" s="475" t="s">
        <v>1149</v>
      </c>
      <c r="C157" s="256" t="s">
        <v>2514</v>
      </c>
      <c r="E157" s="256"/>
      <c r="H157" s="1157" t="s">
        <v>3715</v>
      </c>
      <c r="I157" s="3077"/>
      <c r="J157" s="3006"/>
      <c r="K157" s="3006"/>
      <c r="L157" s="3006"/>
      <c r="M157" s="3006"/>
      <c r="N157" s="3006"/>
      <c r="O157" s="3006"/>
      <c r="P157" s="3006"/>
      <c r="Q157" s="3006"/>
      <c r="R157" s="3006"/>
      <c r="S157" s="3008"/>
      <c r="U157" s="2908"/>
      <c r="V157" s="2908"/>
      <c r="Z157" s="1618">
        <v>157</v>
      </c>
    </row>
    <row r="158" spans="1:26" s="144" customFormat="1" ht="15" customHeight="1" thickBot="1">
      <c r="B158" s="475" t="s">
        <v>1150</v>
      </c>
      <c r="C158" s="256" t="s">
        <v>2990</v>
      </c>
      <c r="E158" s="256"/>
      <c r="H158" s="1157" t="s">
        <v>3715</v>
      </c>
      <c r="I158" s="3077"/>
      <c r="J158" s="3006"/>
      <c r="K158" s="3006"/>
      <c r="L158" s="3006"/>
      <c r="M158" s="3006"/>
      <c r="N158" s="3006"/>
      <c r="O158" s="3006"/>
      <c r="P158" s="3006"/>
      <c r="Q158" s="3006"/>
      <c r="R158" s="3006"/>
      <c r="S158" s="3008"/>
      <c r="U158" s="2908"/>
      <c r="V158" s="2908"/>
      <c r="Z158" s="1618">
        <v>158</v>
      </c>
    </row>
    <row r="159" spans="1:26" s="144" customFormat="1" ht="15" customHeight="1" thickBot="1">
      <c r="B159" s="475" t="s">
        <v>1737</v>
      </c>
      <c r="C159" s="256" t="s">
        <v>2991</v>
      </c>
      <c r="E159" s="256"/>
      <c r="H159" s="1157" t="s">
        <v>3715</v>
      </c>
      <c r="I159" s="3077"/>
      <c r="J159" s="3006"/>
      <c r="K159" s="3006"/>
      <c r="L159" s="3006"/>
      <c r="M159" s="3006"/>
      <c r="N159" s="3006"/>
      <c r="O159" s="3006"/>
      <c r="P159" s="3006"/>
      <c r="Q159" s="3006"/>
      <c r="R159" s="3006"/>
      <c r="S159" s="3008"/>
      <c r="U159" s="2908"/>
      <c r="V159" s="2908"/>
      <c r="Z159" s="1618">
        <v>159</v>
      </c>
    </row>
    <row r="160" spans="1:26" s="144" customFormat="1" ht="15" customHeight="1" thickBot="1">
      <c r="B160" s="475" t="s">
        <v>472</v>
      </c>
      <c r="C160" s="256" t="s">
        <v>2515</v>
      </c>
      <c r="E160" s="256"/>
      <c r="H160" s="1157" t="s">
        <v>3715</v>
      </c>
      <c r="I160" s="3077"/>
      <c r="J160" s="3006"/>
      <c r="K160" s="3006"/>
      <c r="L160" s="3006"/>
      <c r="M160" s="3006"/>
      <c r="N160" s="3006"/>
      <c r="O160" s="3006"/>
      <c r="P160" s="3006"/>
      <c r="Q160" s="3006"/>
      <c r="R160" s="3006"/>
      <c r="S160" s="3008"/>
      <c r="Z160" s="1618">
        <v>160</v>
      </c>
    </row>
    <row r="161" spans="1:26" s="144" customFormat="1" ht="15" customHeight="1" thickBot="1">
      <c r="B161" s="475" t="s">
        <v>473</v>
      </c>
      <c r="C161" s="256" t="s">
        <v>3766</v>
      </c>
      <c r="E161" s="256"/>
      <c r="H161" s="1157" t="s">
        <v>3715</v>
      </c>
      <c r="I161" s="3077"/>
      <c r="J161" s="3006"/>
      <c r="K161" s="3006"/>
      <c r="L161" s="3006"/>
      <c r="M161" s="3006"/>
      <c r="N161" s="3006"/>
      <c r="O161" s="3006"/>
      <c r="P161" s="3006"/>
      <c r="Q161" s="3006"/>
      <c r="R161" s="3006"/>
      <c r="S161" s="3008"/>
      <c r="Z161" s="1618">
        <v>161</v>
      </c>
    </row>
    <row r="162" spans="1:26" s="144" customFormat="1" ht="15" customHeight="1" thickBot="1">
      <c r="B162" s="475" t="s">
        <v>3765</v>
      </c>
      <c r="C162" s="2974" t="s">
        <v>4371</v>
      </c>
      <c r="D162" s="2975"/>
      <c r="E162" s="2975"/>
      <c r="F162" s="2975"/>
      <c r="G162" s="2976"/>
      <c r="H162" s="1157" t="s">
        <v>3715</v>
      </c>
      <c r="I162" s="3076"/>
      <c r="J162" s="3045"/>
      <c r="K162" s="3045"/>
      <c r="L162" s="3045"/>
      <c r="M162" s="3045"/>
      <c r="N162" s="3045"/>
      <c r="O162" s="3045"/>
      <c r="P162" s="3045"/>
      <c r="Q162" s="3045"/>
      <c r="R162" s="3045"/>
      <c r="S162" s="3047"/>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9" t="s">
        <v>593</v>
      </c>
      <c r="B166" s="3010"/>
      <c r="C166" s="3010"/>
      <c r="D166" s="3010"/>
      <c r="E166" s="3015" t="s">
        <v>2979</v>
      </c>
      <c r="F166" s="3016"/>
      <c r="G166" s="3016"/>
      <c r="H166" s="3016"/>
      <c r="I166" s="3017"/>
      <c r="J166" s="3021" t="s">
        <v>2980</v>
      </c>
      <c r="K166" s="3024" t="s">
        <v>2571</v>
      </c>
      <c r="L166" s="3024" t="s">
        <v>2572</v>
      </c>
      <c r="M166" s="3027" t="s">
        <v>4372</v>
      </c>
      <c r="N166" s="3028"/>
      <c r="O166" s="3028"/>
      <c r="P166" s="3028"/>
      <c r="Q166" s="3028"/>
      <c r="R166" s="3028"/>
      <c r="S166" s="3029"/>
      <c r="Z166" s="1618">
        <v>166</v>
      </c>
    </row>
    <row r="167" spans="1:26" s="144" customFormat="1" ht="12.75" customHeight="1">
      <c r="A167" s="3011"/>
      <c r="B167" s="3012"/>
      <c r="C167" s="3012"/>
      <c r="D167" s="3012"/>
      <c r="E167" s="3018"/>
      <c r="F167" s="3019"/>
      <c r="G167" s="3019"/>
      <c r="H167" s="3019"/>
      <c r="I167" s="3020"/>
      <c r="J167" s="3022"/>
      <c r="K167" s="3025"/>
      <c r="L167" s="3025"/>
      <c r="M167" s="3030"/>
      <c r="N167" s="3031"/>
      <c r="O167" s="3031"/>
      <c r="P167" s="3031"/>
      <c r="Q167" s="3031"/>
      <c r="R167" s="3031"/>
      <c r="S167" s="3032"/>
      <c r="Z167" s="1618">
        <v>167</v>
      </c>
    </row>
    <row r="168" spans="1:26" s="144" customFormat="1" ht="12.75" customHeight="1">
      <c r="A168" s="3011"/>
      <c r="B168" s="3012"/>
      <c r="C168" s="3012"/>
      <c r="D168" s="3012"/>
      <c r="E168" s="3018"/>
      <c r="F168" s="3019"/>
      <c r="G168" s="3019"/>
      <c r="H168" s="3019"/>
      <c r="I168" s="3020"/>
      <c r="J168" s="3022"/>
      <c r="K168" s="3025"/>
      <c r="L168" s="3025"/>
      <c r="M168" s="3030"/>
      <c r="N168" s="3031"/>
      <c r="O168" s="3031"/>
      <c r="P168" s="3031"/>
      <c r="Q168" s="3031"/>
      <c r="R168" s="3031"/>
      <c r="S168" s="3032"/>
      <c r="Z168" s="1618">
        <v>168</v>
      </c>
    </row>
    <row r="169" spans="1:26" s="144" customFormat="1" ht="12.75" customHeight="1">
      <c r="A169" s="3011"/>
      <c r="B169" s="3012"/>
      <c r="C169" s="3012"/>
      <c r="D169" s="3012"/>
      <c r="E169" s="3033" t="s">
        <v>3133</v>
      </c>
      <c r="F169" s="3034"/>
      <c r="G169" s="3034"/>
      <c r="H169" s="3035"/>
      <c r="I169" s="480"/>
      <c r="J169" s="3022"/>
      <c r="K169" s="3025"/>
      <c r="L169" s="3025"/>
      <c r="M169" s="3030"/>
      <c r="N169" s="3031"/>
      <c r="O169" s="3031"/>
      <c r="P169" s="3031"/>
      <c r="Q169" s="3031"/>
      <c r="R169" s="3031"/>
      <c r="S169" s="3032"/>
      <c r="Z169" s="1618">
        <v>169</v>
      </c>
    </row>
    <row r="170" spans="1:26" s="144" customFormat="1" ht="13.5" customHeight="1">
      <c r="A170" s="3013"/>
      <c r="B170" s="3014"/>
      <c r="C170" s="3014"/>
      <c r="D170" s="3014"/>
      <c r="E170" s="3036"/>
      <c r="F170" s="3037"/>
      <c r="G170" s="3037"/>
      <c r="H170" s="3038"/>
      <c r="I170" s="1158" t="s">
        <v>2302</v>
      </c>
      <c r="J170" s="3023"/>
      <c r="K170" s="3026"/>
      <c r="L170" s="3025"/>
      <c r="M170" s="1159" t="s">
        <v>2302</v>
      </c>
      <c r="N170" s="3039" t="s">
        <v>2570</v>
      </c>
      <c r="O170" s="3039"/>
      <c r="P170" s="3039"/>
      <c r="Q170" s="3039"/>
      <c r="R170" s="3039"/>
      <c r="S170" s="3040"/>
      <c r="Z170" s="1618">
        <v>170</v>
      </c>
    </row>
    <row r="171" spans="1:26" s="144" customFormat="1" ht="23.25" customHeight="1">
      <c r="A171" s="2995" t="s">
        <v>2974</v>
      </c>
      <c r="B171" s="2996"/>
      <c r="C171" s="2996"/>
      <c r="D171" s="2997"/>
      <c r="E171" s="2998"/>
      <c r="F171" s="2999"/>
      <c r="G171" s="2999"/>
      <c r="H171" s="2999"/>
      <c r="I171" s="634" t="s">
        <v>3715</v>
      </c>
      <c r="J171" s="476" t="s">
        <v>3715</v>
      </c>
      <c r="K171" s="476"/>
      <c r="L171" s="637"/>
      <c r="M171" s="481" t="s">
        <v>3715</v>
      </c>
      <c r="N171" s="3000"/>
      <c r="O171" s="2999"/>
      <c r="P171" s="2999"/>
      <c r="Q171" s="2999"/>
      <c r="R171" s="2999"/>
      <c r="S171" s="3001"/>
      <c r="Z171" s="1618">
        <v>171</v>
      </c>
    </row>
    <row r="172" spans="1:26" s="144" customFormat="1" ht="23.25" customHeight="1">
      <c r="A172" s="3002" t="s">
        <v>2975</v>
      </c>
      <c r="B172" s="3003"/>
      <c r="C172" s="3003"/>
      <c r="D172" s="3004"/>
      <c r="E172" s="3005"/>
      <c r="F172" s="3006"/>
      <c r="G172" s="3006"/>
      <c r="H172" s="3006"/>
      <c r="I172" s="635" t="s">
        <v>3715</v>
      </c>
      <c r="J172" s="477" t="s">
        <v>3715</v>
      </c>
      <c r="K172" s="477"/>
      <c r="L172" s="638"/>
      <c r="M172" s="482" t="s">
        <v>3715</v>
      </c>
      <c r="N172" s="3007"/>
      <c r="O172" s="3006"/>
      <c r="P172" s="3006"/>
      <c r="Q172" s="3006"/>
      <c r="R172" s="3006"/>
      <c r="S172" s="3008"/>
      <c r="U172" s="2908" t="s">
        <v>1878</v>
      </c>
      <c r="V172" s="2908"/>
      <c r="Z172" s="1618">
        <v>172</v>
      </c>
    </row>
    <row r="173" spans="1:26" s="144" customFormat="1" ht="23.25" customHeight="1">
      <c r="A173" s="3002" t="s">
        <v>2976</v>
      </c>
      <c r="B173" s="3003"/>
      <c r="C173" s="3003"/>
      <c r="D173" s="3004"/>
      <c r="E173" s="3005"/>
      <c r="F173" s="3006"/>
      <c r="G173" s="3006"/>
      <c r="H173" s="3006"/>
      <c r="I173" s="635" t="s">
        <v>3715</v>
      </c>
      <c r="J173" s="477" t="s">
        <v>3715</v>
      </c>
      <c r="K173" s="477"/>
      <c r="L173" s="638"/>
      <c r="M173" s="482" t="s">
        <v>3715</v>
      </c>
      <c r="N173" s="3007"/>
      <c r="O173" s="3006"/>
      <c r="P173" s="3006"/>
      <c r="Q173" s="3006"/>
      <c r="R173" s="3006"/>
      <c r="S173" s="3008"/>
      <c r="U173" s="2908"/>
      <c r="V173" s="2908"/>
      <c r="Z173" s="1618">
        <v>173</v>
      </c>
    </row>
    <row r="174" spans="1:26" s="144" customFormat="1" ht="23.25" customHeight="1">
      <c r="A174" s="3002" t="s">
        <v>2977</v>
      </c>
      <c r="B174" s="3003"/>
      <c r="C174" s="3003"/>
      <c r="D174" s="3004"/>
      <c r="E174" s="3005"/>
      <c r="F174" s="3006"/>
      <c r="G174" s="3006"/>
      <c r="H174" s="3006"/>
      <c r="I174" s="635" t="s">
        <v>3715</v>
      </c>
      <c r="J174" s="477" t="s">
        <v>3715</v>
      </c>
      <c r="K174" s="477"/>
      <c r="L174" s="638"/>
      <c r="M174" s="482" t="s">
        <v>3715</v>
      </c>
      <c r="N174" s="3007"/>
      <c r="O174" s="3006"/>
      <c r="P174" s="3006"/>
      <c r="Q174" s="3006"/>
      <c r="R174" s="3006"/>
      <c r="S174" s="3008"/>
      <c r="U174" s="2908"/>
      <c r="V174" s="2908"/>
      <c r="Z174" s="1618">
        <v>174</v>
      </c>
    </row>
    <row r="175" spans="1:26" s="144" customFormat="1" ht="23.25" customHeight="1">
      <c r="A175" s="3002" t="s">
        <v>2978</v>
      </c>
      <c r="B175" s="3003"/>
      <c r="C175" s="3003"/>
      <c r="D175" s="3004"/>
      <c r="E175" s="3005"/>
      <c r="F175" s="3006"/>
      <c r="G175" s="3006"/>
      <c r="H175" s="3006"/>
      <c r="I175" s="635" t="s">
        <v>3715</v>
      </c>
      <c r="J175" s="477" t="s">
        <v>3715</v>
      </c>
      <c r="K175" s="477"/>
      <c r="L175" s="638"/>
      <c r="M175" s="482" t="s">
        <v>3715</v>
      </c>
      <c r="N175" s="3007"/>
      <c r="O175" s="3006"/>
      <c r="P175" s="3006"/>
      <c r="Q175" s="3006"/>
      <c r="R175" s="3006"/>
      <c r="S175" s="3008"/>
      <c r="U175" s="2908"/>
      <c r="V175" s="2908"/>
      <c r="Z175" s="1618">
        <v>175</v>
      </c>
    </row>
    <row r="176" spans="1:26" s="144" customFormat="1" ht="23.25" customHeight="1">
      <c r="A176" s="3002" t="s">
        <v>2561</v>
      </c>
      <c r="B176" s="3003"/>
      <c r="C176" s="3003"/>
      <c r="D176" s="3004"/>
      <c r="E176" s="3005"/>
      <c r="F176" s="3006"/>
      <c r="G176" s="3006"/>
      <c r="H176" s="3006"/>
      <c r="I176" s="635" t="s">
        <v>3715</v>
      </c>
      <c r="J176" s="477" t="s">
        <v>3715</v>
      </c>
      <c r="K176" s="477"/>
      <c r="L176" s="638"/>
      <c r="M176" s="482" t="s">
        <v>3715</v>
      </c>
      <c r="N176" s="3007"/>
      <c r="O176" s="3006"/>
      <c r="P176" s="3006"/>
      <c r="Q176" s="3006"/>
      <c r="R176" s="3006"/>
      <c r="S176" s="3008"/>
      <c r="U176" s="2908"/>
      <c r="V176" s="2908"/>
      <c r="Z176" s="1618">
        <v>176</v>
      </c>
    </row>
    <row r="177" spans="1:26" s="144" customFormat="1" ht="23.25" customHeight="1">
      <c r="A177" s="3002" t="s">
        <v>606</v>
      </c>
      <c r="B177" s="3003"/>
      <c r="C177" s="3003"/>
      <c r="D177" s="3004"/>
      <c r="E177" s="3005"/>
      <c r="F177" s="3006"/>
      <c r="G177" s="3006"/>
      <c r="H177" s="3006"/>
      <c r="I177" s="635" t="s">
        <v>3715</v>
      </c>
      <c r="J177" s="477" t="s">
        <v>3715</v>
      </c>
      <c r="K177" s="477"/>
      <c r="L177" s="638"/>
      <c r="M177" s="482" t="s">
        <v>3715</v>
      </c>
      <c r="N177" s="3007"/>
      <c r="O177" s="3006"/>
      <c r="P177" s="3006"/>
      <c r="Q177" s="3006"/>
      <c r="R177" s="3006"/>
      <c r="S177" s="3008"/>
      <c r="U177" s="2908"/>
      <c r="V177" s="2908"/>
      <c r="Z177" s="1618">
        <v>177</v>
      </c>
    </row>
    <row r="178" spans="1:26" s="144" customFormat="1" ht="23.25" customHeight="1">
      <c r="A178" s="3002" t="s">
        <v>2562</v>
      </c>
      <c r="B178" s="3003"/>
      <c r="C178" s="3003"/>
      <c r="D178" s="3004"/>
      <c r="E178" s="3005"/>
      <c r="F178" s="3006"/>
      <c r="G178" s="3006"/>
      <c r="H178" s="3006"/>
      <c r="I178" s="635" t="s">
        <v>3715</v>
      </c>
      <c r="J178" s="477" t="s">
        <v>3715</v>
      </c>
      <c r="K178" s="477"/>
      <c r="L178" s="638"/>
      <c r="M178" s="482" t="s">
        <v>3715</v>
      </c>
      <c r="N178" s="3007"/>
      <c r="O178" s="3006"/>
      <c r="P178" s="3006"/>
      <c r="Q178" s="3006"/>
      <c r="R178" s="3006"/>
      <c r="S178" s="3008"/>
      <c r="Z178" s="1618">
        <v>178</v>
      </c>
    </row>
    <row r="179" spans="1:26" s="144" customFormat="1" ht="23.25" customHeight="1">
      <c r="A179" s="3002" t="s">
        <v>2563</v>
      </c>
      <c r="B179" s="3003"/>
      <c r="C179" s="3003"/>
      <c r="D179" s="3004"/>
      <c r="E179" s="3005"/>
      <c r="F179" s="3006"/>
      <c r="G179" s="3006"/>
      <c r="H179" s="3006"/>
      <c r="I179" s="635" t="s">
        <v>3715</v>
      </c>
      <c r="J179" s="477" t="s">
        <v>3715</v>
      </c>
      <c r="K179" s="477"/>
      <c r="L179" s="638"/>
      <c r="M179" s="482" t="s">
        <v>3715</v>
      </c>
      <c r="N179" s="3007"/>
      <c r="O179" s="3006"/>
      <c r="P179" s="3006"/>
      <c r="Q179" s="3006"/>
      <c r="R179" s="3006"/>
      <c r="S179" s="3008"/>
      <c r="Z179" s="1618">
        <v>179</v>
      </c>
    </row>
    <row r="180" spans="1:26" s="144" customFormat="1" ht="23.25" customHeight="1">
      <c r="A180" s="3002" t="s">
        <v>2565</v>
      </c>
      <c r="B180" s="3003"/>
      <c r="C180" s="3003"/>
      <c r="D180" s="3004"/>
      <c r="E180" s="3005"/>
      <c r="F180" s="3006"/>
      <c r="G180" s="3006"/>
      <c r="H180" s="3006"/>
      <c r="I180" s="635" t="s">
        <v>3715</v>
      </c>
      <c r="J180" s="477" t="s">
        <v>3715</v>
      </c>
      <c r="K180" s="477"/>
      <c r="L180" s="638"/>
      <c r="M180" s="482" t="s">
        <v>3715</v>
      </c>
      <c r="N180" s="3007"/>
      <c r="O180" s="3006"/>
      <c r="P180" s="3006"/>
      <c r="Q180" s="3006"/>
      <c r="R180" s="3006"/>
      <c r="S180" s="3008"/>
      <c r="Z180" s="1618">
        <v>180</v>
      </c>
    </row>
    <row r="181" spans="1:26" s="144" customFormat="1" ht="23.25" customHeight="1">
      <c r="A181" s="3002" t="s">
        <v>2564</v>
      </c>
      <c r="B181" s="3003"/>
      <c r="C181" s="3003"/>
      <c r="D181" s="3004"/>
      <c r="E181" s="3005"/>
      <c r="F181" s="3006"/>
      <c r="G181" s="3006"/>
      <c r="H181" s="3006"/>
      <c r="I181" s="635" t="s">
        <v>3715</v>
      </c>
      <c r="J181" s="477" t="s">
        <v>3715</v>
      </c>
      <c r="K181" s="477"/>
      <c r="L181" s="638"/>
      <c r="M181" s="482" t="s">
        <v>3715</v>
      </c>
      <c r="N181" s="3007"/>
      <c r="O181" s="3006"/>
      <c r="P181" s="3006"/>
      <c r="Q181" s="3006"/>
      <c r="R181" s="3006"/>
      <c r="S181" s="3008"/>
      <c r="Z181" s="1618">
        <v>181</v>
      </c>
    </row>
    <row r="182" spans="1:26" s="144" customFormat="1" ht="23.25" customHeight="1">
      <c r="A182" s="3002" t="s">
        <v>1429</v>
      </c>
      <c r="B182" s="3003"/>
      <c r="C182" s="3003"/>
      <c r="D182" s="3004"/>
      <c r="E182" s="3005"/>
      <c r="F182" s="3006"/>
      <c r="G182" s="3006"/>
      <c r="H182" s="3006"/>
      <c r="I182" s="635" t="s">
        <v>3715</v>
      </c>
      <c r="J182" s="477" t="s">
        <v>3715</v>
      </c>
      <c r="K182" s="477"/>
      <c r="L182" s="638"/>
      <c r="M182" s="482" t="s">
        <v>3715</v>
      </c>
      <c r="N182" s="3007"/>
      <c r="O182" s="3006"/>
      <c r="P182" s="3006"/>
      <c r="Q182" s="3006"/>
      <c r="R182" s="3006"/>
      <c r="S182" s="3008"/>
      <c r="Z182" s="1618">
        <v>182</v>
      </c>
    </row>
    <row r="183" spans="1:26" s="144" customFormat="1" ht="23.25" customHeight="1">
      <c r="A183" s="3041" t="s">
        <v>2566</v>
      </c>
      <c r="B183" s="3042"/>
      <c r="C183" s="3042"/>
      <c r="D183" s="3043"/>
      <c r="E183" s="3044"/>
      <c r="F183" s="3045"/>
      <c r="G183" s="3045"/>
      <c r="H183" s="3045"/>
      <c r="I183" s="636" t="s">
        <v>3715</v>
      </c>
      <c r="J183" s="478" t="s">
        <v>3715</v>
      </c>
      <c r="K183" s="478"/>
      <c r="L183" s="639"/>
      <c r="M183" s="483" t="s">
        <v>3715</v>
      </c>
      <c r="N183" s="3046"/>
      <c r="O183" s="3045"/>
      <c r="P183" s="3045"/>
      <c r="Q183" s="3045"/>
      <c r="R183" s="3045"/>
      <c r="S183" s="3047"/>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8"/>
      <c r="B186" s="3049"/>
      <c r="C186" s="3049"/>
      <c r="D186" s="3049"/>
      <c r="E186" s="3049"/>
      <c r="F186" s="3049"/>
      <c r="G186" s="3049"/>
      <c r="H186" s="3049"/>
      <c r="I186" s="3049"/>
      <c r="J186" s="3049"/>
      <c r="K186" s="3049"/>
      <c r="L186" s="3049"/>
      <c r="M186" s="3050"/>
      <c r="N186" s="3051"/>
      <c r="O186" s="3052"/>
      <c r="P186" s="3052"/>
      <c r="Q186" s="3052"/>
      <c r="R186" s="3052"/>
      <c r="S186" s="3053"/>
      <c r="T186" s="2908" t="s">
        <v>2445</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Flats at Lake View II</v>
      </c>
    </row>
    <row r="2" spans="1:14">
      <c r="A2" s="549" t="s">
        <v>2873</v>
      </c>
      <c r="H2" s="431" t="str">
        <f>'Sensitivity Analysis'!E8</f>
        <v>2024-0</v>
      </c>
    </row>
    <row r="3" spans="1:14" ht="3" customHeight="1"/>
    <row r="4" spans="1:14" ht="69.599999999999994" customHeight="1">
      <c r="A4" s="4730" t="s">
        <v>2911</v>
      </c>
      <c r="B4" s="4730"/>
      <c r="C4" s="4730"/>
      <c r="D4" s="4730"/>
      <c r="E4" s="4730"/>
      <c r="F4" s="4730"/>
      <c r="G4" s="4730"/>
      <c r="H4" s="4730"/>
      <c r="I4" s="4730"/>
      <c r="J4" s="4730"/>
      <c r="K4" s="4730"/>
      <c r="L4" s="4737">
        <f>SUM('Part VI-Pro Forma'!B15:B17)/12</f>
        <v>69085.05</v>
      </c>
      <c r="M4" s="4737"/>
      <c r="N4" s="1408" t="s">
        <v>3544</v>
      </c>
    </row>
    <row r="5" spans="1:14" ht="1.5" customHeight="1"/>
    <row r="6" spans="1:14" ht="12.75" customHeight="1">
      <c r="B6" s="623" t="s">
        <v>2234</v>
      </c>
      <c r="C6" s="605" t="s">
        <v>2874</v>
      </c>
      <c r="D6" s="605"/>
      <c r="E6" s="605"/>
      <c r="F6" s="605"/>
      <c r="G6" s="605"/>
      <c r="H6" s="605"/>
    </row>
    <row r="7" spans="1:14" ht="12.75" customHeight="1">
      <c r="B7" s="623" t="s">
        <v>2235</v>
      </c>
      <c r="C7" s="4730" t="s">
        <v>2875</v>
      </c>
      <c r="D7" s="4730"/>
      <c r="E7" s="4730"/>
      <c r="F7" s="4730"/>
      <c r="G7" s="4730"/>
      <c r="H7" s="4730"/>
      <c r="I7" s="4730"/>
      <c r="J7" s="4730"/>
      <c r="K7" s="4730"/>
      <c r="L7" s="4730"/>
      <c r="M7" s="4730"/>
    </row>
    <row r="8" spans="1:14" ht="3" customHeight="1"/>
    <row r="9" spans="1:14">
      <c r="A9" s="431" t="s">
        <v>2876</v>
      </c>
    </row>
    <row r="10" spans="1:14" ht="1.5" customHeight="1"/>
    <row r="11" spans="1:14" ht="26.25" customHeight="1">
      <c r="A11" s="624" t="s">
        <v>1836</v>
      </c>
      <c r="B11" s="4730" t="s">
        <v>2908</v>
      </c>
      <c r="C11" s="4730"/>
      <c r="D11" s="4730"/>
      <c r="E11" s="4730"/>
      <c r="F11" s="4730"/>
      <c r="G11" s="4730"/>
      <c r="H11" s="4730"/>
      <c r="I11" s="4730"/>
      <c r="J11" s="4730"/>
      <c r="K11" s="4730"/>
      <c r="L11" s="4731">
        <f>'Part II-Sources of Funds'!I51+'Part II-Sources of Funds'!I52</f>
        <v>19573785</v>
      </c>
      <c r="M11" s="4731"/>
    </row>
    <row r="12" spans="1:14" ht="1.5" customHeight="1">
      <c r="G12" s="605"/>
      <c r="H12" s="605"/>
    </row>
    <row r="13" spans="1:14" ht="25.9" customHeight="1">
      <c r="A13" s="624" t="s">
        <v>1838</v>
      </c>
      <c r="B13" s="4730" t="s">
        <v>2909</v>
      </c>
      <c r="C13" s="4730"/>
      <c r="D13" s="4730"/>
      <c r="E13" s="4730"/>
      <c r="F13" s="4730"/>
      <c r="G13" s="4730"/>
      <c r="H13" s="4730"/>
      <c r="I13" s="4730"/>
      <c r="J13" s="4730"/>
      <c r="K13" s="4730"/>
      <c r="L13" s="4732" t="s">
        <v>2804</v>
      </c>
      <c r="M13" s="4732"/>
    </row>
    <row r="14" spans="1:14">
      <c r="A14" s="624"/>
      <c r="B14" s="4696"/>
      <c r="C14" s="4696"/>
      <c r="D14" s="4696"/>
      <c r="E14" s="4696"/>
      <c r="F14" s="4696"/>
      <c r="G14" s="4696"/>
      <c r="H14" s="4696"/>
    </row>
    <row r="15" spans="1:14" ht="3" customHeight="1"/>
    <row r="16" spans="1:14">
      <c r="A16" s="624" t="s">
        <v>697</v>
      </c>
      <c r="B16" s="431" t="s">
        <v>2912</v>
      </c>
      <c r="L16" s="4733" t="s">
        <v>2644</v>
      </c>
      <c r="M16" s="4733"/>
    </row>
    <row r="17" spans="1:19" ht="1.5" customHeight="1">
      <c r="L17" s="608"/>
    </row>
    <row r="18" spans="1:19" ht="12" customHeight="1">
      <c r="A18" s="624" t="s">
        <v>1957</v>
      </c>
      <c r="B18" s="605" t="s">
        <v>2910</v>
      </c>
      <c r="C18" s="624"/>
      <c r="D18" s="624"/>
      <c r="E18" s="624"/>
      <c r="L18" s="4696" t="s">
        <v>2507</v>
      </c>
      <c r="M18" s="4696"/>
    </row>
    <row r="19" spans="1:19" ht="12" hidden="1" customHeight="1">
      <c r="B19" s="4696"/>
      <c r="C19" s="4696"/>
      <c r="D19" s="4696"/>
      <c r="E19" s="4696"/>
      <c r="F19" s="4696"/>
      <c r="G19" s="4696"/>
      <c r="H19" s="4696"/>
    </row>
    <row r="20" spans="1:19" ht="13.5" customHeight="1"/>
    <row r="21" spans="1:19" ht="12" customHeight="1">
      <c r="A21" s="549" t="s">
        <v>2877</v>
      </c>
    </row>
    <row r="22" spans="1:19" ht="3" customHeight="1"/>
    <row r="23" spans="1:19" ht="42.6" customHeight="1">
      <c r="A23" s="4734" t="s">
        <v>3950</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12</v>
      </c>
      <c r="G27" s="1499">
        <f>'Part V-Revenues &amp; Expenses'!M58</f>
        <v>18</v>
      </c>
      <c r="H27" s="1499">
        <f>'Part V-Revenues &amp; Expenses'!N58</f>
        <v>12</v>
      </c>
      <c r="I27" s="1499">
        <f>'Part V-Revenues &amp; Expenses'!O58</f>
        <v>6</v>
      </c>
      <c r="J27" s="2457">
        <f>'Part V-Revenues &amp; Expenses'!P58</f>
        <v>48</v>
      </c>
      <c r="K27" s="431"/>
      <c r="S27" s="431"/>
    </row>
    <row r="28" spans="1:19" ht="15" customHeight="1">
      <c r="C28" s="723" t="s">
        <v>112</v>
      </c>
      <c r="D28" s="438"/>
      <c r="E28" s="1498">
        <f>'Part V-Revenues &amp; Expenses'!K59</f>
        <v>0</v>
      </c>
      <c r="F28" s="1499">
        <f>'Part V-Revenues &amp; Expenses'!L59</f>
        <v>4</v>
      </c>
      <c r="G28" s="1499">
        <f>'Part V-Revenues &amp; Expenses'!M59</f>
        <v>5</v>
      </c>
      <c r="H28" s="1499">
        <f>'Part V-Revenues &amp; Expenses'!N59</f>
        <v>4</v>
      </c>
      <c r="I28" s="1499">
        <f>'Part V-Revenues &amp; Expenses'!O59</f>
        <v>2</v>
      </c>
      <c r="J28" s="2457">
        <f>'Part V-Revenues &amp; Expenses'!P59</f>
        <v>15</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16</v>
      </c>
      <c r="G32" s="2459">
        <f>'Part V-Revenues &amp; Expenses'!M63</f>
        <v>23</v>
      </c>
      <c r="H32" s="2459">
        <f>'Part V-Revenues &amp; Expenses'!N63</f>
        <v>16</v>
      </c>
      <c r="I32" s="2459">
        <f>'Part V-Revenues &amp; Expenses'!O63</f>
        <v>8</v>
      </c>
      <c r="J32" s="1500">
        <f>'Part V-Revenues &amp; Expenses'!P63</f>
        <v>63</v>
      </c>
      <c r="K32" s="431"/>
      <c r="S32" s="431"/>
    </row>
    <row r="33" spans="1:12" s="431" customFormat="1" ht="13.15" customHeight="1" thickBot="1">
      <c r="K33" s="1407"/>
    </row>
    <row r="34" spans="1:12" s="431" customFormat="1" ht="14.25" customHeight="1" thickBot="1">
      <c r="A34" s="1407"/>
      <c r="B34" s="4744" t="s">
        <v>4069</v>
      </c>
      <c r="E34" s="4745" t="s">
        <v>3969</v>
      </c>
      <c r="F34" s="4746"/>
      <c r="G34" s="4746"/>
      <c r="H34" s="4746"/>
      <c r="I34" s="4746"/>
      <c r="J34" s="4746"/>
      <c r="K34" s="4746"/>
      <c r="L34" s="4747"/>
    </row>
    <row r="35" spans="1:12" s="431" customFormat="1" ht="14.25" customHeight="1">
      <c r="A35" s="1407"/>
      <c r="B35" s="4744"/>
      <c r="C35" s="4748" t="s">
        <v>4070</v>
      </c>
      <c r="D35" s="4744" t="s">
        <v>4071</v>
      </c>
      <c r="E35" s="4749" t="s">
        <v>3972</v>
      </c>
      <c r="F35" s="4750"/>
      <c r="G35" s="4753" t="s">
        <v>1273</v>
      </c>
      <c r="H35" s="4755" t="s">
        <v>3968</v>
      </c>
      <c r="I35" s="4756"/>
      <c r="J35" s="4756"/>
      <c r="K35" s="4756"/>
      <c r="L35" s="4757"/>
    </row>
    <row r="36" spans="1:12" s="431" customFormat="1" ht="23.25" customHeight="1">
      <c r="A36" s="4748" t="s">
        <v>974</v>
      </c>
      <c r="B36" s="4744"/>
      <c r="C36" s="4748"/>
      <c r="D36" s="4744"/>
      <c r="E36" s="4751"/>
      <c r="F36" s="4752"/>
      <c r="G36" s="4754"/>
      <c r="H36" s="4758" t="s">
        <v>3970</v>
      </c>
      <c r="I36" s="4759"/>
      <c r="J36" s="4762" t="s">
        <v>1273</v>
      </c>
      <c r="K36" s="4759" t="s">
        <v>3971</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15" customHeight="1">
      <c r="A39" s="1486">
        <f>'Part V-Revenues &amp; Expenses'!B18</f>
        <v>50</v>
      </c>
      <c r="B39" s="1487">
        <f>'Part V-Revenues &amp; Expenses'!E18</f>
        <v>4</v>
      </c>
      <c r="C39" s="1488" t="str">
        <f>_xlfn.CONCAT('Part V-Revenues &amp; Expenses'!C18," / ",'Part V-Revenues &amp; Expenses'!D18)</f>
        <v>1 / 1</v>
      </c>
      <c r="D39" s="1487">
        <f>'Part V-Revenues &amp; Expenses'!F18</f>
        <v>721</v>
      </c>
      <c r="E39" s="4742">
        <f>'Part V-Revenues &amp; Expenses'!H18</f>
        <v>818</v>
      </c>
      <c r="F39" s="4743"/>
      <c r="G39" s="438"/>
      <c r="H39" s="4769"/>
      <c r="I39" s="4770"/>
      <c r="J39" s="4770"/>
      <c r="K39" s="4770"/>
      <c r="L39" s="4771"/>
    </row>
    <row r="40" spans="1:12" s="431" customFormat="1" ht="13.15" customHeight="1">
      <c r="A40" s="1489">
        <f>'Part V-Revenues &amp; Expenses'!B19</f>
        <v>50</v>
      </c>
      <c r="B40" s="1490">
        <f>'Part V-Revenues &amp; Expenses'!E19</f>
        <v>5</v>
      </c>
      <c r="C40" s="1491" t="str">
        <f>_xlfn.CONCAT('Part V-Revenues &amp; Expenses'!C19," / ",'Part V-Revenues &amp; Expenses'!D19)</f>
        <v>2 / 2</v>
      </c>
      <c r="D40" s="1490">
        <f>'Part V-Revenues &amp; Expenses'!F19</f>
        <v>969</v>
      </c>
      <c r="E40" s="4740">
        <f>'Part V-Revenues &amp; Expenses'!H19</f>
        <v>988</v>
      </c>
      <c r="F40" s="4741"/>
      <c r="G40" s="438"/>
      <c r="H40" s="4766"/>
      <c r="I40" s="4767"/>
      <c r="J40" s="4767"/>
      <c r="K40" s="4767"/>
      <c r="L40" s="4768"/>
    </row>
    <row r="41" spans="1:12" s="431" customFormat="1" ht="13.15" customHeight="1">
      <c r="A41" s="1489">
        <f>'Part V-Revenues &amp; Expenses'!B20</f>
        <v>50</v>
      </c>
      <c r="B41" s="1490">
        <f>'Part V-Revenues &amp; Expenses'!E20</f>
        <v>4</v>
      </c>
      <c r="C41" s="1491" t="str">
        <f>_xlfn.CONCAT('Part V-Revenues &amp; Expenses'!C20," / ",'Part V-Revenues &amp; Expenses'!D20)</f>
        <v>3 / 2</v>
      </c>
      <c r="D41" s="1490">
        <f>'Part V-Revenues &amp; Expenses'!F20</f>
        <v>1200</v>
      </c>
      <c r="E41" s="4740">
        <f>'Part V-Revenues &amp; Expenses'!H20</f>
        <v>1140</v>
      </c>
      <c r="F41" s="4741"/>
      <c r="G41" s="438"/>
      <c r="H41" s="4766"/>
      <c r="I41" s="4767"/>
      <c r="J41" s="4767"/>
      <c r="K41" s="4767"/>
      <c r="L41" s="4768"/>
    </row>
    <row r="42" spans="1:12" s="431" customFormat="1" ht="13.15" customHeight="1">
      <c r="A42" s="1489">
        <f>'Part V-Revenues &amp; Expenses'!B21</f>
        <v>50</v>
      </c>
      <c r="B42" s="1490">
        <f>'Part V-Revenues &amp; Expenses'!E21</f>
        <v>2</v>
      </c>
      <c r="C42" s="1491" t="str">
        <f>_xlfn.CONCAT('Part V-Revenues &amp; Expenses'!C21," / ",'Part V-Revenues &amp; Expenses'!D21)</f>
        <v>4 / 2</v>
      </c>
      <c r="D42" s="1490">
        <f>'Part V-Revenues &amp; Expenses'!F21</f>
        <v>1383</v>
      </c>
      <c r="E42" s="4740">
        <f>'Part V-Revenues &amp; Expenses'!H21</f>
        <v>1275</v>
      </c>
      <c r="F42" s="4741"/>
      <c r="G42" s="438"/>
      <c r="H42" s="4766"/>
      <c r="I42" s="4767"/>
      <c r="J42" s="4767"/>
      <c r="K42" s="4767"/>
      <c r="L42" s="4768"/>
    </row>
    <row r="43" spans="1:12" s="431" customFormat="1" ht="13.15" customHeight="1">
      <c r="A43" s="1489">
        <f>'Part V-Revenues &amp; Expenses'!B22</f>
        <v>60</v>
      </c>
      <c r="B43" s="1490">
        <f>'Part V-Revenues &amp; Expenses'!E22</f>
        <v>12</v>
      </c>
      <c r="C43" s="1491" t="str">
        <f>_xlfn.CONCAT('Part V-Revenues &amp; Expenses'!C22," / ",'Part V-Revenues &amp; Expenses'!D22)</f>
        <v>1 / 1</v>
      </c>
      <c r="D43" s="1490">
        <f>'Part V-Revenues &amp; Expenses'!F22</f>
        <v>721</v>
      </c>
      <c r="E43" s="4740">
        <f>'Part V-Revenues &amp; Expenses'!H22</f>
        <v>953</v>
      </c>
      <c r="F43" s="4741"/>
      <c r="G43" s="438"/>
      <c r="H43" s="4766"/>
      <c r="I43" s="4767"/>
      <c r="J43" s="4767"/>
      <c r="K43" s="4767"/>
      <c r="L43" s="4768"/>
    </row>
    <row r="44" spans="1:12" s="431" customFormat="1" ht="13.15" customHeight="1">
      <c r="A44" s="1489">
        <f>'Part V-Revenues &amp; Expenses'!B23</f>
        <v>60</v>
      </c>
      <c r="B44" s="1490">
        <f>'Part V-Revenues &amp; Expenses'!E23</f>
        <v>18</v>
      </c>
      <c r="C44" s="1491" t="str">
        <f>_xlfn.CONCAT('Part V-Revenues &amp; Expenses'!C23," / ",'Part V-Revenues &amp; Expenses'!D23)</f>
        <v>2 / 2</v>
      </c>
      <c r="D44" s="1490">
        <f>'Part V-Revenues &amp; Expenses'!F23</f>
        <v>969</v>
      </c>
      <c r="E44" s="4740">
        <f>'Part V-Revenues &amp; Expenses'!H23</f>
        <v>1133</v>
      </c>
      <c r="F44" s="4741"/>
      <c r="G44" s="438"/>
      <c r="H44" s="4766"/>
      <c r="I44" s="4767"/>
      <c r="J44" s="4767"/>
      <c r="K44" s="4767"/>
      <c r="L44" s="4768"/>
    </row>
    <row r="45" spans="1:12" s="431" customFormat="1" ht="13.15" customHeight="1">
      <c r="A45" s="1489">
        <f>'Part V-Revenues &amp; Expenses'!B24</f>
        <v>60</v>
      </c>
      <c r="B45" s="1490">
        <f>'Part V-Revenues &amp; Expenses'!E24</f>
        <v>12</v>
      </c>
      <c r="C45" s="1491" t="str">
        <f>_xlfn.CONCAT('Part V-Revenues &amp; Expenses'!C24," / ",'Part V-Revenues &amp; Expenses'!D24)</f>
        <v>3 / 2</v>
      </c>
      <c r="D45" s="1490">
        <f>'Part V-Revenues &amp; Expenses'!F24</f>
        <v>1200</v>
      </c>
      <c r="E45" s="4740">
        <f>'Part V-Revenues &amp; Expenses'!H24</f>
        <v>1265</v>
      </c>
      <c r="F45" s="4741"/>
      <c r="G45" s="438"/>
      <c r="H45" s="4766"/>
      <c r="I45" s="4767"/>
      <c r="J45" s="4767"/>
      <c r="K45" s="4767"/>
      <c r="L45" s="4768"/>
    </row>
    <row r="46" spans="1:12" s="431" customFormat="1" ht="13.15" customHeight="1">
      <c r="A46" s="1489">
        <f>'Part V-Revenues &amp; Expenses'!B25</f>
        <v>60</v>
      </c>
      <c r="B46" s="1490">
        <f>'Part V-Revenues &amp; Expenses'!E25</f>
        <v>6</v>
      </c>
      <c r="C46" s="1491" t="str">
        <f>_xlfn.CONCAT('Part V-Revenues &amp; Expenses'!C25," / ",'Part V-Revenues &amp; Expenses'!D25)</f>
        <v>4 / 2</v>
      </c>
      <c r="D46" s="1490">
        <f>'Part V-Revenues &amp; Expenses'!F25</f>
        <v>1383</v>
      </c>
      <c r="E46" s="4740">
        <f>'Part V-Revenues &amp; Expenses'!H25</f>
        <v>1400</v>
      </c>
      <c r="F46" s="4741"/>
      <c r="G46" s="438"/>
      <c r="H46" s="4766"/>
      <c r="I46" s="4767"/>
      <c r="J46" s="4767"/>
      <c r="K46" s="4767"/>
      <c r="L46" s="4768"/>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0" t="s">
        <v>4513</v>
      </c>
      <c r="R24" s="4781"/>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4" t="s">
        <v>3783</v>
      </c>
      <c r="R26" s="4784"/>
      <c r="S26" s="144"/>
      <c r="T26" s="144"/>
      <c r="U26" s="144"/>
      <c r="AA26" s="68"/>
      <c r="AB26" s="68"/>
    </row>
    <row r="27" spans="1:28" s="145" customFormat="1" ht="12.75" hidden="1" customHeight="1">
      <c r="A27" s="147"/>
      <c r="B27" s="147"/>
      <c r="C27" s="147"/>
      <c r="K27" s="236" t="s">
        <v>3784</v>
      </c>
      <c r="L27" s="236"/>
      <c r="N27" s="234"/>
      <c r="O27" s="147"/>
      <c r="P27" s="144"/>
      <c r="Q27" s="4785">
        <v>0.2</v>
      </c>
      <c r="R27" s="4786"/>
      <c r="S27" s="144"/>
      <c r="T27" s="144"/>
      <c r="U27" s="144"/>
      <c r="AA27" s="68"/>
      <c r="AB27" s="68"/>
    </row>
    <row r="28" spans="1:28" s="145" customFormat="1" ht="12.75" hidden="1" customHeight="1">
      <c r="A28" s="147"/>
      <c r="B28" s="147"/>
      <c r="C28" s="147"/>
      <c r="K28" s="236" t="s">
        <v>3785</v>
      </c>
      <c r="L28" s="236"/>
      <c r="N28" s="234"/>
      <c r="O28" s="147"/>
      <c r="P28" s="144"/>
      <c r="Q28" s="4775">
        <v>0.15</v>
      </c>
      <c r="R28" s="4776"/>
      <c r="S28" s="144"/>
      <c r="T28" s="144"/>
      <c r="U28" s="144"/>
      <c r="AA28" s="68"/>
      <c r="AB28" s="68"/>
    </row>
    <row r="29" spans="1:28" s="145" customFormat="1" ht="12.75" hidden="1" customHeight="1">
      <c r="A29" s="147"/>
      <c r="B29" s="147"/>
      <c r="C29" s="147"/>
      <c r="K29" s="236" t="s">
        <v>3786</v>
      </c>
      <c r="L29" s="236"/>
      <c r="N29" s="234"/>
      <c r="O29" s="147"/>
      <c r="P29" s="144"/>
      <c r="Q29" s="4775">
        <v>0.15</v>
      </c>
      <c r="R29" s="4776"/>
      <c r="S29" s="144"/>
      <c r="T29" s="144"/>
      <c r="U29" s="144"/>
      <c r="AA29" s="68"/>
      <c r="AB29" s="68"/>
    </row>
    <row r="30" spans="1:28" s="145" customFormat="1" ht="12.75" hidden="1" customHeight="1">
      <c r="A30" s="147"/>
      <c r="B30" s="147"/>
      <c r="C30" s="147"/>
      <c r="K30" s="236" t="s">
        <v>3787</v>
      </c>
      <c r="L30" s="236"/>
      <c r="N30" s="234"/>
      <c r="O30" s="147"/>
      <c r="P30" s="144"/>
      <c r="Q30" s="4775">
        <v>0.1</v>
      </c>
      <c r="R30" s="4776"/>
      <c r="S30" s="144"/>
      <c r="T30" s="144"/>
      <c r="U30" s="144"/>
      <c r="AA30" s="68"/>
      <c r="AB30" s="68"/>
    </row>
    <row r="31" spans="1:28" s="145" customFormat="1" ht="12.75" hidden="1" customHeight="1">
      <c r="A31" s="147"/>
      <c r="B31" s="147"/>
      <c r="C31" s="147"/>
      <c r="K31" s="236" t="s">
        <v>3788</v>
      </c>
      <c r="L31" s="236"/>
      <c r="N31" s="234"/>
      <c r="O31" s="147"/>
      <c r="P31" s="144"/>
      <c r="Q31" s="4789">
        <v>0.1</v>
      </c>
      <c r="R31" s="479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3230</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791">
        <v>2000</v>
      </c>
      <c r="R57" s="4792"/>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793">
        <v>10000</v>
      </c>
      <c r="R58" s="479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787">
        <v>10000</v>
      </c>
      <c r="R60" s="478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65" customHeight="1">
      <c r="A62" s="147"/>
      <c r="B62" s="147"/>
      <c r="C62" s="147" t="s">
        <v>4881</v>
      </c>
      <c r="D62" s="147"/>
      <c r="E62" s="144"/>
      <c r="F62" s="147" t="s">
        <v>3235</v>
      </c>
      <c r="G62" s="147"/>
      <c r="H62" s="144"/>
      <c r="I62" s="144"/>
      <c r="K62" s="147"/>
      <c r="L62" s="147"/>
      <c r="M62" s="147"/>
      <c r="N62" s="147"/>
      <c r="O62" s="147"/>
      <c r="P62" s="144"/>
      <c r="Q62" s="4793">
        <v>2500</v>
      </c>
      <c r="R62" s="4794"/>
      <c r="S62" s="236"/>
      <c r="T62" s="236"/>
      <c r="U62" s="236"/>
      <c r="AA62" s="68"/>
      <c r="AB62" s="68"/>
    </row>
    <row r="63" spans="1:28" s="145" customFormat="1" ht="11.65" customHeight="1">
      <c r="A63" s="147"/>
      <c r="B63" s="147"/>
      <c r="C63" s="147"/>
      <c r="D63" s="147"/>
      <c r="E63" s="144"/>
      <c r="F63" s="147" t="s">
        <v>3234</v>
      </c>
      <c r="G63" s="147"/>
      <c r="H63" s="144"/>
      <c r="I63" s="144"/>
      <c r="K63" s="147"/>
      <c r="L63" s="147"/>
      <c r="M63" s="147"/>
      <c r="N63" s="147"/>
      <c r="O63" s="147"/>
      <c r="P63" s="144"/>
      <c r="Q63" s="4787">
        <v>2500</v>
      </c>
      <c r="R63" s="4788"/>
      <c r="S63" s="236"/>
      <c r="T63" s="236"/>
      <c r="U63" s="236"/>
      <c r="AA63" s="68"/>
      <c r="AB63" s="68"/>
    </row>
    <row r="64" spans="1:28" s="145" customFormat="1" ht="11.65" customHeight="1">
      <c r="A64" s="147"/>
      <c r="B64" s="147"/>
      <c r="C64" s="147"/>
      <c r="D64" s="147"/>
      <c r="E64" s="144"/>
      <c r="F64" s="236" t="s">
        <v>4882</v>
      </c>
      <c r="G64" s="147"/>
      <c r="H64" s="144"/>
      <c r="I64" s="144"/>
      <c r="Q64" s="4787">
        <v>1500</v>
      </c>
      <c r="R64" s="4788"/>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787">
        <v>15000</v>
      </c>
      <c r="R65" s="4788"/>
      <c r="S65" s="236"/>
      <c r="T65" s="236"/>
      <c r="U65" s="236"/>
      <c r="AA65" s="68"/>
      <c r="AB65" s="68"/>
    </row>
    <row r="66" spans="1:28" s="145" customFormat="1" ht="11.65" customHeight="1">
      <c r="A66" s="147"/>
      <c r="B66" s="147"/>
      <c r="C66" s="147"/>
      <c r="D66" s="147"/>
      <c r="E66" s="144"/>
      <c r="F66" s="147" t="s">
        <v>3236</v>
      </c>
      <c r="G66" s="147"/>
      <c r="H66" s="144"/>
      <c r="I66" s="144"/>
      <c r="K66" s="147"/>
      <c r="L66" s="147"/>
      <c r="M66" s="147"/>
      <c r="N66" s="147"/>
      <c r="O66" s="147"/>
      <c r="P66" s="144"/>
      <c r="Q66" s="4799">
        <v>1500</v>
      </c>
      <c r="R66" s="4800"/>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01" t="s">
        <v>4887</v>
      </c>
      <c r="R67" s="4802"/>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03" t="s">
        <v>4887</v>
      </c>
      <c r="R68" s="4804"/>
      <c r="S68" s="236"/>
      <c r="T68" s="236"/>
      <c r="U68" s="236"/>
      <c r="AA68" s="68"/>
      <c r="AB68" s="68"/>
    </row>
    <row r="69" spans="1:28" s="145" customFormat="1" ht="11.65" customHeight="1">
      <c r="A69" s="147"/>
      <c r="B69" s="147"/>
      <c r="D69" s="147"/>
      <c r="E69" s="144"/>
      <c r="F69" s="147" t="s">
        <v>3233</v>
      </c>
      <c r="G69" s="147"/>
      <c r="H69" s="144"/>
      <c r="I69" s="144"/>
      <c r="J69" s="147"/>
      <c r="K69" s="147"/>
      <c r="L69" s="147"/>
      <c r="M69" s="147"/>
      <c r="N69" s="147"/>
      <c r="O69" s="147"/>
      <c r="P69" s="144"/>
      <c r="Q69" s="4805">
        <v>1500</v>
      </c>
      <c r="R69" s="4806"/>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807">
        <v>0.08</v>
      </c>
      <c r="R70" s="4807"/>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808">
        <v>0.08</v>
      </c>
      <c r="R71" s="4808"/>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787">
        <v>2500</v>
      </c>
      <c r="R72" s="4788"/>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787">
        <v>8000</v>
      </c>
      <c r="R73" s="4788"/>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787">
        <v>1000</v>
      </c>
      <c r="R75" s="4788"/>
      <c r="S75" s="236"/>
      <c r="T75" s="236"/>
      <c r="U75" s="236"/>
      <c r="AA75" s="68"/>
      <c r="AB75" s="68"/>
    </row>
    <row r="76" spans="1:28" s="145" customFormat="1" ht="11.65" customHeight="1">
      <c r="A76" s="147"/>
      <c r="B76" s="147"/>
      <c r="C76" s="147"/>
      <c r="D76" s="144"/>
      <c r="E76" s="144"/>
      <c r="H76" s="147" t="s">
        <v>2440</v>
      </c>
      <c r="I76" s="144"/>
      <c r="J76" s="147" t="s">
        <v>1430</v>
      </c>
      <c r="K76" s="147" t="s">
        <v>3214</v>
      </c>
      <c r="L76" s="147"/>
      <c r="M76" s="147"/>
      <c r="N76" s="147"/>
      <c r="O76" s="147"/>
      <c r="P76" s="144"/>
      <c r="Q76" s="4797">
        <v>800</v>
      </c>
      <c r="R76" s="4798"/>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7">
        <v>1500</v>
      </c>
      <c r="R77" s="4798"/>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795">
        <v>1500</v>
      </c>
      <c r="R78" s="4796"/>
      <c r="S78" s="236"/>
      <c r="T78" s="236"/>
      <c r="U78" s="236"/>
      <c r="AA78" s="68"/>
      <c r="AB78" s="68"/>
    </row>
    <row r="79" spans="1:28" s="145" customFormat="1" ht="11.65" customHeight="1">
      <c r="A79" s="147"/>
      <c r="B79" s="147"/>
      <c r="C79" s="147"/>
      <c r="D79" s="144"/>
      <c r="E79" s="144"/>
      <c r="F79" s="147" t="s">
        <v>3325</v>
      </c>
      <c r="I79" s="144"/>
      <c r="J79" s="147" t="s">
        <v>3655</v>
      </c>
      <c r="K79" s="147"/>
      <c r="L79" s="147"/>
      <c r="M79" s="147"/>
      <c r="N79" s="147"/>
      <c r="O79" s="147"/>
      <c r="P79" s="144"/>
      <c r="Q79" s="4811">
        <v>750</v>
      </c>
      <c r="R79" s="4812"/>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3">
        <v>75</v>
      </c>
      <c r="R80" s="4814"/>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3791</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20">
        <v>0.02</v>
      </c>
      <c r="R113" s="482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3223</v>
      </c>
      <c r="I125" s="144"/>
      <c r="J125" s="241" t="s">
        <v>4841</v>
      </c>
      <c r="K125" s="147"/>
      <c r="L125" s="147"/>
      <c r="M125" s="147"/>
      <c r="N125" s="147"/>
      <c r="P125" s="144"/>
      <c r="Q125" s="4821"/>
      <c r="R125" s="4821"/>
      <c r="S125" s="4821"/>
      <c r="T125" s="4821"/>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823">
        <v>1105000</v>
      </c>
      <c r="R129" s="4823"/>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827">
        <v>1225000</v>
      </c>
      <c r="R130" s="482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827">
        <v>1105000</v>
      </c>
      <c r="R131" s="482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828">
        <v>1105000</v>
      </c>
      <c r="R132" s="482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4002</v>
      </c>
      <c r="I135" s="144"/>
      <c r="J135" s="4808">
        <v>0.35</v>
      </c>
      <c r="K135" s="4808"/>
      <c r="L135" s="147"/>
      <c r="M135" s="147"/>
      <c r="N135" s="147"/>
      <c r="O135" s="147"/>
      <c r="P135" s="147"/>
      <c r="Q135" s="147"/>
      <c r="R135" s="147"/>
    </row>
    <row r="136" spans="1:28" ht="11.25" customHeight="1">
      <c r="A136" s="229"/>
      <c r="G136" s="147"/>
      <c r="H136" s="147" t="s">
        <v>2938</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831"/>
      <c r="R143" s="483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3229</v>
      </c>
      <c r="K144" s="147"/>
      <c r="L144" s="147"/>
      <c r="M144" s="147"/>
      <c r="N144" s="147"/>
      <c r="O144" s="147"/>
      <c r="P144" s="144"/>
      <c r="Q144" s="4833">
        <v>4000000</v>
      </c>
      <c r="R144" s="4833"/>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4647</v>
      </c>
      <c r="B150" s="4835"/>
      <c r="C150" s="1910"/>
      <c r="D150" s="483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4645</v>
      </c>
      <c r="J152" s="142" t="s">
        <v>747</v>
      </c>
      <c r="K152" s="142"/>
      <c r="L152" s="223"/>
    </row>
    <row r="153" spans="1:28" ht="13.5">
      <c r="A153" s="4835"/>
      <c r="B153" s="4835"/>
      <c r="C153" s="702" t="s">
        <v>750</v>
      </c>
      <c r="D153" s="1241" t="s">
        <v>2923</v>
      </c>
      <c r="F153" s="702" t="s">
        <v>4643</v>
      </c>
      <c r="H153" s="483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3" t="s">
        <v>3314</v>
      </c>
      <c r="E162" s="236"/>
      <c r="F162" s="236"/>
    </row>
    <row r="163" spans="2:37" ht="10.5" customHeight="1">
      <c r="C163" s="3303"/>
      <c r="E163" s="236"/>
      <c r="F163" s="236"/>
    </row>
    <row r="164" spans="2:37" ht="10.5" customHeight="1">
      <c r="C164" s="330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3452</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3467</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3490</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3522</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view="pageBreakPreview" topLeftCell="A15" zoomScale="60" zoomScaleNormal="100" workbookViewId="0">
      <selection activeCell="X43" sqref="X4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4" t="str">
        <f>CONCATENATE("PART TWO - SOURCES OF FUNDS (Proposed)","  -  ",'Part I-Project Identification'!$O$7," ",'Part I-Project Identification'!$F$26,", ",'Part I-Project Identification'!$F$27,", ",'Part I-Project Identification'!$J$27," County")</f>
        <v>PART TWO - SOURCES OF FUNDS (Proposed)  -  2024-0 Flats at Lake View II, Warner Robins, Houston County</v>
      </c>
      <c r="B2" s="3065"/>
      <c r="C2" s="3065"/>
      <c r="D2" s="3065"/>
      <c r="E2" s="3065"/>
      <c r="F2" s="3065"/>
      <c r="G2" s="3065"/>
      <c r="H2" s="3065"/>
      <c r="I2" s="3065"/>
      <c r="J2" s="3065"/>
      <c r="K2" s="3065"/>
      <c r="L2" s="3065"/>
      <c r="M2" s="3065"/>
      <c r="N2" s="3065"/>
      <c r="O2" s="3065"/>
      <c r="P2" s="3065"/>
      <c r="Q2" s="3066"/>
      <c r="S2" s="3097" t="str">
        <f>$A$2</f>
        <v>PART TWO - SOURCES OF FUNDS (Proposed)  -  2024-0 Flats at Lake View II, Warner Robins, Houston County</v>
      </c>
      <c r="T2" s="3097"/>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8" t="str">
        <f>'Part I-Project Identification'!$A$6</f>
        <v>2024 May 7</v>
      </c>
      <c r="M4" s="3099"/>
      <c r="N4" s="3099"/>
      <c r="O4" s="3099"/>
      <c r="P4" s="3100"/>
      <c r="S4" s="258" t="str">
        <f>B4</f>
        <v>GOVERNMENT FUNDING SOURCES  (check all that apply)</v>
      </c>
      <c r="Y4" s="2475"/>
      <c r="Z4" s="1618">
        <v>4</v>
      </c>
      <c r="AZ4" s="1588"/>
    </row>
    <row r="5" spans="1:52" s="223" customFormat="1" ht="15.75" customHeight="1">
      <c r="A5" s="253"/>
      <c r="B5" s="374"/>
      <c r="C5" s="253"/>
      <c r="D5" s="144"/>
      <c r="E5" s="144"/>
      <c r="F5" s="144"/>
      <c r="G5" s="144"/>
      <c r="S5" s="3101" t="s">
        <v>2441</v>
      </c>
      <c r="T5" s="3101"/>
      <c r="Y5" s="2475"/>
      <c r="Z5" s="1618">
        <v>5</v>
      </c>
      <c r="AZ5" s="1588"/>
    </row>
    <row r="6" spans="1:52" s="223" customFormat="1" ht="16.5" customHeight="1">
      <c r="A6" s="374"/>
      <c r="B6" s="1173" t="s">
        <v>2641</v>
      </c>
      <c r="C6" s="224" t="s">
        <v>2213</v>
      </c>
      <c r="D6" s="144"/>
      <c r="E6" s="1173"/>
      <c r="F6" s="224" t="s">
        <v>3981</v>
      </c>
      <c r="G6" s="144"/>
      <c r="I6" s="3102"/>
      <c r="J6" s="3103"/>
      <c r="L6" s="1173"/>
      <c r="M6" s="224" t="s">
        <v>1435</v>
      </c>
      <c r="Q6" s="1532"/>
      <c r="S6" s="3082"/>
      <c r="T6" s="3083"/>
      <c r="Y6" s="2475"/>
      <c r="Z6" s="1618">
        <v>6</v>
      </c>
      <c r="AZ6" s="1588"/>
    </row>
    <row r="7" spans="1:52" s="223" customFormat="1" ht="16.5" customHeight="1">
      <c r="A7" s="374"/>
      <c r="B7" s="810"/>
      <c r="C7" s="224" t="s">
        <v>3753</v>
      </c>
      <c r="D7" s="144"/>
      <c r="E7" s="805"/>
      <c r="F7" s="224" t="s">
        <v>3982</v>
      </c>
      <c r="I7" s="3104"/>
      <c r="J7" s="3105"/>
      <c r="L7" s="810"/>
      <c r="M7" s="224" t="s">
        <v>513</v>
      </c>
      <c r="P7" s="1532"/>
      <c r="Q7" s="1532"/>
      <c r="S7" s="3084"/>
      <c r="T7" s="3085"/>
      <c r="Y7" s="2475"/>
      <c r="Z7" s="1618">
        <v>7</v>
      </c>
      <c r="AZ7" s="1588"/>
    </row>
    <row r="8" spans="1:52" s="223" customFormat="1" ht="16.5" customHeight="1">
      <c r="A8" s="144"/>
      <c r="B8" s="810"/>
      <c r="C8" s="224" t="s">
        <v>4555</v>
      </c>
      <c r="F8" s="223" t="s">
        <v>4558</v>
      </c>
      <c r="H8" s="3106" t="s">
        <v>2981</v>
      </c>
      <c r="I8" s="3107"/>
      <c r="J8" s="3108"/>
      <c r="L8" s="810"/>
      <c r="M8" s="224" t="s">
        <v>4560</v>
      </c>
      <c r="P8" s="1532"/>
      <c r="Q8" s="1532"/>
      <c r="S8" s="3084"/>
      <c r="T8" s="3085"/>
      <c r="Y8" s="2475"/>
      <c r="Z8" s="1618">
        <v>8</v>
      </c>
      <c r="AZ8" s="1588"/>
    </row>
    <row r="9" spans="1:52" s="223" customFormat="1" ht="16.5" customHeight="1">
      <c r="A9" s="374"/>
      <c r="B9" s="810"/>
      <c r="C9" s="223" t="s">
        <v>3217</v>
      </c>
      <c r="E9" s="1176"/>
      <c r="F9" s="3109" t="s">
        <v>4554</v>
      </c>
      <c r="G9" s="3110"/>
      <c r="H9" s="3088"/>
      <c r="I9" s="3088"/>
      <c r="J9" s="3089"/>
      <c r="L9" s="810"/>
      <c r="M9" s="224" t="s">
        <v>3754</v>
      </c>
      <c r="Q9" s="1532"/>
      <c r="S9" s="3086"/>
      <c r="T9" s="3087"/>
      <c r="Y9" s="2475"/>
      <c r="Z9" s="1618">
        <v>9</v>
      </c>
      <c r="AZ9" s="1588"/>
    </row>
    <row r="10" spans="1:52" s="223" customFormat="1" ht="16.5" customHeight="1">
      <c r="A10" s="374"/>
      <c r="B10" s="810"/>
      <c r="C10" s="224" t="s">
        <v>2388</v>
      </c>
      <c r="F10" s="3079" t="s">
        <v>3649</v>
      </c>
      <c r="G10" s="3080"/>
      <c r="H10" s="3080"/>
      <c r="I10" s="3080"/>
      <c r="J10" s="3081"/>
      <c r="L10" s="810"/>
      <c r="M10" s="224" t="s">
        <v>3108</v>
      </c>
      <c r="P10" s="1532"/>
      <c r="Q10" s="1532"/>
      <c r="S10" s="3082"/>
      <c r="T10" s="3083"/>
      <c r="Y10" s="2475"/>
      <c r="Z10" s="1618">
        <v>10</v>
      </c>
      <c r="AZ10" s="1588"/>
    </row>
    <row r="11" spans="1:52" s="223" customFormat="1" ht="16.5" customHeight="1">
      <c r="A11" s="374"/>
      <c r="B11" s="810"/>
      <c r="C11" s="224" t="s">
        <v>2389</v>
      </c>
      <c r="E11" s="1176"/>
      <c r="F11" s="3088" t="s">
        <v>4556</v>
      </c>
      <c r="G11" s="3088"/>
      <c r="H11" s="3088"/>
      <c r="I11" s="3088"/>
      <c r="J11" s="3089"/>
      <c r="L11" s="810"/>
      <c r="M11" s="223" t="s">
        <v>2392</v>
      </c>
      <c r="S11" s="3084"/>
      <c r="T11" s="3085"/>
      <c r="Y11" s="2475"/>
      <c r="Z11" s="1618">
        <v>11</v>
      </c>
      <c r="AZ11" s="1588"/>
    </row>
    <row r="12" spans="1:52" s="223" customFormat="1" ht="16.5" customHeight="1">
      <c r="A12" s="374"/>
      <c r="B12" s="810"/>
      <c r="C12" s="224" t="s">
        <v>3109</v>
      </c>
      <c r="F12" s="3090" t="s">
        <v>3650</v>
      </c>
      <c r="G12" s="3091"/>
      <c r="H12" s="3092"/>
      <c r="I12" s="3092"/>
      <c r="J12" s="3093"/>
      <c r="L12" s="810"/>
      <c r="M12" s="223" t="s">
        <v>3135</v>
      </c>
      <c r="S12" s="3084"/>
      <c r="T12" s="3085"/>
      <c r="Y12" s="2475"/>
      <c r="Z12" s="1618">
        <v>12</v>
      </c>
      <c r="AZ12" s="1588"/>
    </row>
    <row r="13" spans="1:52" s="223" customFormat="1" ht="16.5" customHeight="1">
      <c r="A13" s="374"/>
      <c r="B13" s="810"/>
      <c r="C13" s="224" t="s">
        <v>4557</v>
      </c>
      <c r="E13" s="1173"/>
      <c r="F13" s="224" t="s">
        <v>4559</v>
      </c>
      <c r="H13" s="3090" t="s">
        <v>3208</v>
      </c>
      <c r="I13" s="3091"/>
      <c r="J13" s="3094"/>
      <c r="L13" s="810"/>
      <c r="M13" s="223" t="s">
        <v>3980</v>
      </c>
      <c r="S13" s="3084"/>
      <c r="T13" s="3085"/>
      <c r="Y13" s="2475"/>
      <c r="Z13" s="1618">
        <v>13</v>
      </c>
      <c r="AZ13" s="1588"/>
    </row>
    <row r="14" spans="1:52" s="223" customFormat="1" ht="16.5" customHeight="1">
      <c r="A14" s="374"/>
      <c r="B14" s="810"/>
      <c r="C14" s="223" t="s">
        <v>2391</v>
      </c>
      <c r="E14" s="810"/>
      <c r="F14" s="224" t="s">
        <v>3216</v>
      </c>
      <c r="L14" s="810"/>
      <c r="M14" s="223" t="s">
        <v>4605</v>
      </c>
      <c r="S14" s="3086"/>
      <c r="T14" s="3087"/>
      <c r="Y14" s="2475"/>
      <c r="Z14" s="1618">
        <v>14</v>
      </c>
      <c r="AZ14" s="1588"/>
    </row>
    <row r="15" spans="1:52" s="223" customFormat="1" ht="16.5" customHeight="1">
      <c r="A15" s="374"/>
      <c r="B15" s="810"/>
      <c r="C15" s="223" t="s">
        <v>3134</v>
      </c>
      <c r="E15" s="810"/>
      <c r="F15" s="224" t="s">
        <v>3983</v>
      </c>
      <c r="L15" s="810"/>
      <c r="M15" s="1533" t="s">
        <v>3984</v>
      </c>
      <c r="Y15" s="2475"/>
      <c r="Z15" s="1618">
        <v>15</v>
      </c>
      <c r="AZ15" s="1588"/>
    </row>
    <row r="16" spans="1:52" s="223" customFormat="1" ht="16.5" customHeight="1">
      <c r="A16" s="374"/>
      <c r="B16" s="805"/>
      <c r="C16" s="224" t="s">
        <v>1668</v>
      </c>
      <c r="E16" s="805"/>
      <c r="F16" s="224" t="s">
        <v>4397</v>
      </c>
      <c r="I16" s="3095"/>
      <c r="J16" s="3096"/>
      <c r="L16" s="805"/>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20"/>
      <c r="O19" s="312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1" t="s">
        <v>1218</v>
      </c>
      <c r="I21" s="3121"/>
      <c r="J21" s="3121"/>
      <c r="K21" s="3121"/>
      <c r="L21" s="3122" t="s">
        <v>3721</v>
      </c>
      <c r="M21" s="3122"/>
      <c r="N21" s="3122" t="s">
        <v>1408</v>
      </c>
      <c r="O21" s="3122"/>
      <c r="P21" s="3122" t="s">
        <v>1521</v>
      </c>
      <c r="Q21" s="3122"/>
      <c r="S21" s="3101" t="s">
        <v>2441</v>
      </c>
      <c r="T21" s="3101"/>
      <c r="Y21" s="2475"/>
      <c r="Z21" s="1618">
        <v>21</v>
      </c>
      <c r="AZ21" s="1588" t="s">
        <v>4238</v>
      </c>
    </row>
    <row r="22" spans="1:52" s="223" customFormat="1" ht="15.75" customHeight="1">
      <c r="A22" s="144"/>
      <c r="B22" s="3136" t="s">
        <v>1484</v>
      </c>
      <c r="C22" s="3137"/>
      <c r="D22" s="3137"/>
      <c r="E22" s="808"/>
      <c r="F22" s="808"/>
      <c r="G22" s="808"/>
      <c r="H22" s="3138" t="s">
        <v>5139</v>
      </c>
      <c r="I22" s="3139"/>
      <c r="J22" s="3139"/>
      <c r="K22" s="3140"/>
      <c r="L22" s="3141">
        <v>18500000</v>
      </c>
      <c r="M22" s="3142"/>
      <c r="N22" s="3143">
        <v>8.0799999999999997E-2</v>
      </c>
      <c r="O22" s="3144"/>
      <c r="P22" s="3145">
        <v>32</v>
      </c>
      <c r="Q22" s="3146"/>
      <c r="S22" s="3082"/>
      <c r="T22" s="3083"/>
      <c r="Y22" s="2475" t="s">
        <v>4238</v>
      </c>
      <c r="Z22" s="1618">
        <v>22</v>
      </c>
      <c r="AZ22" s="1588" t="s">
        <v>4239</v>
      </c>
    </row>
    <row r="23" spans="1:52" s="223" customFormat="1" ht="15.75" customHeight="1">
      <c r="A23" s="144"/>
      <c r="B23" s="3111" t="s">
        <v>1485</v>
      </c>
      <c r="C23" s="3112"/>
      <c r="D23" s="3112"/>
      <c r="E23" s="144"/>
      <c r="F23" s="144"/>
      <c r="G23" s="144"/>
      <c r="H23" s="3113"/>
      <c r="I23" s="3114"/>
      <c r="J23" s="3114"/>
      <c r="K23" s="3115"/>
      <c r="L23" s="3116"/>
      <c r="M23" s="3117"/>
      <c r="N23" s="3118"/>
      <c r="O23" s="3119"/>
      <c r="P23" s="3123"/>
      <c r="Q23" s="3124"/>
      <c r="S23" s="3084"/>
      <c r="T23" s="3085"/>
      <c r="Y23" s="2475" t="s">
        <v>4239</v>
      </c>
      <c r="Z23" s="1618">
        <v>23</v>
      </c>
      <c r="AZ23" s="1588" t="s">
        <v>4240</v>
      </c>
    </row>
    <row r="24" spans="1:52" s="223" customFormat="1" ht="15.75" customHeight="1">
      <c r="A24" s="144"/>
      <c r="B24" s="3125" t="s">
        <v>1486</v>
      </c>
      <c r="C24" s="3126"/>
      <c r="D24" s="3126"/>
      <c r="E24" s="813"/>
      <c r="F24" s="813"/>
      <c r="G24" s="813"/>
      <c r="H24" s="3127"/>
      <c r="I24" s="3128"/>
      <c r="J24" s="3128"/>
      <c r="K24" s="3129"/>
      <c r="L24" s="3130"/>
      <c r="M24" s="3131"/>
      <c r="N24" s="3132"/>
      <c r="O24" s="3133"/>
      <c r="P24" s="3134"/>
      <c r="Q24" s="3135"/>
      <c r="S24" s="3084"/>
      <c r="T24" s="3085"/>
      <c r="Y24" s="2475" t="s">
        <v>4240</v>
      </c>
      <c r="Z24" s="1618">
        <v>24</v>
      </c>
      <c r="AZ24" s="1588" t="s">
        <v>4241</v>
      </c>
    </row>
    <row r="25" spans="1:52" s="223" customFormat="1" ht="15.75" customHeight="1">
      <c r="A25" s="144"/>
      <c r="B25" s="3136" t="s">
        <v>2042</v>
      </c>
      <c r="C25" s="3137"/>
      <c r="D25" s="3137"/>
      <c r="E25" s="144"/>
      <c r="F25" s="144"/>
      <c r="G25" s="144"/>
      <c r="H25" s="3149"/>
      <c r="I25" s="3150"/>
      <c r="J25" s="3150"/>
      <c r="K25" s="3151"/>
      <c r="L25" s="3152"/>
      <c r="M25" s="3153"/>
      <c r="N25" s="3147"/>
      <c r="O25" s="3148"/>
      <c r="P25" s="3120"/>
      <c r="Q25" s="3120"/>
      <c r="S25" s="3084"/>
      <c r="T25" s="3085"/>
      <c r="Y25" s="2475" t="s">
        <v>4241</v>
      </c>
      <c r="Z25" s="1618">
        <v>25</v>
      </c>
      <c r="AZ25" s="1588" t="s">
        <v>4242</v>
      </c>
    </row>
    <row r="26" spans="1:52" s="223" customFormat="1" ht="15.75" customHeight="1">
      <c r="A26" s="144"/>
      <c r="B26" s="3111" t="s">
        <v>744</v>
      </c>
      <c r="C26" s="3112"/>
      <c r="D26" s="3112"/>
      <c r="E26" s="144"/>
      <c r="H26" s="3113"/>
      <c r="I26" s="3114"/>
      <c r="J26" s="3114"/>
      <c r="K26" s="3115"/>
      <c r="L26" s="3116"/>
      <c r="M26" s="3117"/>
      <c r="N26" s="3147"/>
      <c r="O26" s="3148"/>
      <c r="P26" s="3120"/>
      <c r="Q26" s="3120"/>
      <c r="S26" s="3084"/>
      <c r="T26" s="3085"/>
      <c r="Y26" s="2475" t="s">
        <v>4242</v>
      </c>
      <c r="Z26" s="1618">
        <v>26</v>
      </c>
      <c r="AZ26" s="1588" t="s">
        <v>4243</v>
      </c>
    </row>
    <row r="27" spans="1:52" s="223" customFormat="1" ht="15.75" customHeight="1">
      <c r="A27" s="144"/>
      <c r="B27" s="3111" t="s">
        <v>594</v>
      </c>
      <c r="C27" s="3112"/>
      <c r="D27" s="3112"/>
      <c r="E27" s="144"/>
      <c r="H27" s="3113"/>
      <c r="I27" s="3114"/>
      <c r="J27" s="3114"/>
      <c r="K27" s="3115"/>
      <c r="L27" s="3116"/>
      <c r="M27" s="3117"/>
      <c r="N27" s="3147"/>
      <c r="O27" s="3148"/>
      <c r="P27" s="3120"/>
      <c r="Q27" s="3120"/>
      <c r="S27" s="3084"/>
      <c r="T27" s="3085"/>
      <c r="Y27" s="2475" t="s">
        <v>4243</v>
      </c>
      <c r="Z27" s="1618">
        <v>27</v>
      </c>
      <c r="AZ27" s="1588" t="s">
        <v>4244</v>
      </c>
    </row>
    <row r="28" spans="1:52" s="223" customFormat="1" ht="15.75" customHeight="1">
      <c r="A28" s="144"/>
      <c r="B28" s="3111" t="s">
        <v>745</v>
      </c>
      <c r="C28" s="3112"/>
      <c r="D28" s="3112"/>
      <c r="E28" s="144"/>
      <c r="H28" s="3113" t="s">
        <v>5142</v>
      </c>
      <c r="I28" s="3114"/>
      <c r="J28" s="3114"/>
      <c r="K28" s="3115"/>
      <c r="L28" s="3116">
        <v>1202729</v>
      </c>
      <c r="M28" s="3117"/>
      <c r="N28" s="144"/>
      <c r="Q28" s="144"/>
      <c r="S28" s="3086"/>
      <c r="T28" s="3087"/>
      <c r="Y28" s="2475" t="s">
        <v>4244</v>
      </c>
      <c r="Z28" s="1618">
        <v>28</v>
      </c>
      <c r="AZ28" s="1588" t="s">
        <v>4245</v>
      </c>
    </row>
    <row r="29" spans="1:52" s="223" customFormat="1" ht="15.75" customHeight="1">
      <c r="A29" s="144"/>
      <c r="B29" s="3111" t="s">
        <v>746</v>
      </c>
      <c r="C29" s="3112"/>
      <c r="D29" s="3112"/>
      <c r="E29" s="144"/>
      <c r="H29" s="3113" t="s">
        <v>5139</v>
      </c>
      <c r="I29" s="3114"/>
      <c r="J29" s="3114"/>
      <c r="K29" s="3115"/>
      <c r="L29" s="3116">
        <v>754650</v>
      </c>
      <c r="M29" s="3117"/>
      <c r="N29" s="144"/>
      <c r="Q29" s="144"/>
      <c r="S29" s="3082"/>
      <c r="T29" s="3083"/>
      <c r="Y29" s="2475" t="s">
        <v>4245</v>
      </c>
      <c r="Z29" s="1618">
        <v>29</v>
      </c>
      <c r="AZ29" s="1588" t="s">
        <v>4246</v>
      </c>
    </row>
    <row r="30" spans="1:52" s="223" customFormat="1" ht="15.75" customHeight="1">
      <c r="A30" s="144"/>
      <c r="B30" s="807" t="s">
        <v>232</v>
      </c>
      <c r="C30" s="144"/>
      <c r="D30" s="3154"/>
      <c r="E30" s="3154"/>
      <c r="F30" s="3154"/>
      <c r="G30" s="3154"/>
      <c r="H30" s="3113"/>
      <c r="I30" s="3114"/>
      <c r="J30" s="3114"/>
      <c r="K30" s="3115"/>
      <c r="L30" s="3116"/>
      <c r="M30" s="3117"/>
      <c r="N30" s="144"/>
      <c r="Q30" s="144"/>
      <c r="S30" s="3084"/>
      <c r="T30" s="3085"/>
      <c r="Y30" s="2475" t="s">
        <v>4246</v>
      </c>
      <c r="Z30" s="1618">
        <v>30</v>
      </c>
      <c r="AZ30" s="1588" t="s">
        <v>4247</v>
      </c>
    </row>
    <row r="31" spans="1:52" s="223" customFormat="1" ht="15.75" customHeight="1">
      <c r="A31" s="144"/>
      <c r="B31" s="807" t="s">
        <v>232</v>
      </c>
      <c r="C31" s="144"/>
      <c r="D31" s="3155"/>
      <c r="E31" s="3155"/>
      <c r="F31" s="3155"/>
      <c r="G31" s="3155"/>
      <c r="H31" s="3113"/>
      <c r="I31" s="3114"/>
      <c r="J31" s="3114"/>
      <c r="K31" s="3115"/>
      <c r="L31" s="3116"/>
      <c r="M31" s="3117"/>
      <c r="N31" s="144"/>
      <c r="S31" s="3084"/>
      <c r="T31" s="3085"/>
      <c r="Y31" s="2475" t="s">
        <v>4247</v>
      </c>
      <c r="Z31" s="1618">
        <v>31</v>
      </c>
      <c r="AZ31" s="1588" t="s">
        <v>4248</v>
      </c>
    </row>
    <row r="32" spans="1:52" s="223" customFormat="1" ht="15.75" customHeight="1">
      <c r="A32" s="144"/>
      <c r="B32" s="812" t="s">
        <v>232</v>
      </c>
      <c r="C32" s="813"/>
      <c r="D32" s="3159"/>
      <c r="E32" s="3159"/>
      <c r="F32" s="3159"/>
      <c r="G32" s="3159"/>
      <c r="H32" s="3127"/>
      <c r="I32" s="3128"/>
      <c r="J32" s="3128"/>
      <c r="K32" s="3129"/>
      <c r="L32" s="3130"/>
      <c r="M32" s="3131"/>
      <c r="N32" s="144"/>
      <c r="S32" s="3084"/>
      <c r="T32" s="3085"/>
      <c r="Y32" s="2475" t="s">
        <v>4248</v>
      </c>
      <c r="Z32" s="1618">
        <v>32</v>
      </c>
      <c r="AZ32" s="1588"/>
    </row>
    <row r="33" spans="1:52" s="223" customFormat="1" ht="16.5" customHeight="1">
      <c r="A33" s="144"/>
      <c r="B33" s="222" t="s">
        <v>1219</v>
      </c>
      <c r="C33" s="144"/>
      <c r="D33" s="144"/>
      <c r="E33" s="144"/>
      <c r="F33" s="144"/>
      <c r="G33" s="144"/>
      <c r="H33" s="144"/>
      <c r="I33" s="144"/>
      <c r="L33" s="3160">
        <f>SUM(L22:L32)</f>
        <v>20457379</v>
      </c>
      <c r="M33" s="3161"/>
      <c r="N33" s="145"/>
      <c r="S33" s="3084"/>
      <c r="T33" s="3085"/>
      <c r="Y33" s="2475"/>
      <c r="Z33" s="1618">
        <v>33</v>
      </c>
      <c r="AZ33" s="1588"/>
    </row>
    <row r="34" spans="1:52" s="223" customFormat="1" ht="16.5" customHeight="1">
      <c r="A34" s="144"/>
      <c r="B34" s="246" t="s">
        <v>1220</v>
      </c>
      <c r="C34" s="144"/>
      <c r="D34" s="144"/>
      <c r="E34" s="144"/>
      <c r="F34" s="144"/>
      <c r="G34" s="144"/>
      <c r="H34" s="144"/>
      <c r="I34" s="144"/>
      <c r="L34" s="3162">
        <f>'Part III-A-Uses of Funds'!$G$146-'Part III-A-Uses of Funds'!$G$103-'Part III-A-Uses of Funds'!$G$109-'Part III-A-Uses of Funds'!$G$130-'Part III-A-Uses of Funds'!$G$131-'Part III-A-Uses of Funds'!$G$132-'Part III-A-Uses of Funds'!$G$127+'Part III-A-Uses of Funds'!$F$123</f>
        <v>19932948.931046732</v>
      </c>
      <c r="M34" s="3163"/>
      <c r="N34" s="645"/>
      <c r="S34" s="3084"/>
      <c r="T34" s="3085"/>
      <c r="Y34" s="2475"/>
      <c r="Z34" s="1618">
        <v>34</v>
      </c>
      <c r="AZ34" s="1588"/>
    </row>
    <row r="35" spans="1:52" s="223" customFormat="1" ht="16.5" customHeight="1">
      <c r="A35" s="144"/>
      <c r="B35" s="246" t="s">
        <v>1997</v>
      </c>
      <c r="C35" s="144"/>
      <c r="D35" s="144"/>
      <c r="E35" s="144"/>
      <c r="F35" s="144"/>
      <c r="G35" s="144"/>
      <c r="H35" s="144"/>
      <c r="I35" s="144"/>
      <c r="L35" s="3164">
        <f>L33-L34</f>
        <v>524430.06895326823</v>
      </c>
      <c r="M35" s="3165"/>
      <c r="N35" s="645"/>
      <c r="S35" s="3086"/>
      <c r="T35" s="3087"/>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20"/>
      <c r="I38" s="3120"/>
      <c r="K38" s="252" t="s">
        <v>1943</v>
      </c>
      <c r="L38" s="248" t="s">
        <v>1216</v>
      </c>
      <c r="M38" s="248" t="s">
        <v>1221</v>
      </c>
      <c r="P38" s="3156" t="s">
        <v>31</v>
      </c>
      <c r="Q38" s="3156"/>
      <c r="S38" s="258"/>
      <c r="Y38" s="2475"/>
      <c r="Z38" s="1618">
        <v>38</v>
      </c>
      <c r="AZ38" s="1588"/>
    </row>
    <row r="39" spans="1:52" s="223" customFormat="1" ht="13.35" customHeight="1">
      <c r="A39" s="144"/>
      <c r="B39" s="814" t="s">
        <v>1729</v>
      </c>
      <c r="C39" s="813"/>
      <c r="D39" s="813"/>
      <c r="E39" s="3158" t="s">
        <v>1218</v>
      </c>
      <c r="F39" s="3158"/>
      <c r="G39" s="3158"/>
      <c r="H39" s="3158"/>
      <c r="I39" s="3122" t="s">
        <v>3720</v>
      </c>
      <c r="J39" s="3122"/>
      <c r="K39" s="445" t="s">
        <v>1670</v>
      </c>
      <c r="L39" s="445" t="s">
        <v>2041</v>
      </c>
      <c r="M39" s="445" t="s">
        <v>2041</v>
      </c>
      <c r="N39" s="3122" t="s">
        <v>69</v>
      </c>
      <c r="O39" s="3122"/>
      <c r="P39" s="3157"/>
      <c r="Q39" s="3157"/>
      <c r="S39" s="3101" t="s">
        <v>2441</v>
      </c>
      <c r="T39" s="3101"/>
      <c r="Y39" s="2475"/>
      <c r="Z39" s="1618">
        <v>39</v>
      </c>
      <c r="AZ39" s="1588" t="s">
        <v>4249</v>
      </c>
    </row>
    <row r="40" spans="1:52" s="223" customFormat="1" ht="15" customHeight="1">
      <c r="A40" s="144"/>
      <c r="B40" s="3136" t="s">
        <v>2396</v>
      </c>
      <c r="C40" s="3137"/>
      <c r="D40" s="3137"/>
      <c r="E40" s="3138" t="s">
        <v>5138</v>
      </c>
      <c r="F40" s="3139"/>
      <c r="G40" s="3139"/>
      <c r="H40" s="3140"/>
      <c r="I40" s="3170">
        <v>2850000</v>
      </c>
      <c r="J40" s="3171"/>
      <c r="K40" s="642">
        <v>7.4200000000000002E-2</v>
      </c>
      <c r="L40" s="809">
        <v>16</v>
      </c>
      <c r="M40" s="809">
        <v>40</v>
      </c>
      <c r="N40" s="3172" t="s">
        <v>5137</v>
      </c>
      <c r="O40" s="3172"/>
      <c r="P40" s="3173">
        <f>IF(OR(I40&lt;=0,I40=""),"",IF(N40="Cash Flow",0,IF(N40="Amortizing",-PMT(K40/12,M40*12,I40,0,0)*12,"")))</f>
        <v>223040.9030825861</v>
      </c>
      <c r="Q40" s="3173"/>
      <c r="S40" s="3082"/>
      <c r="T40" s="3083"/>
      <c r="Y40" s="2475" t="s">
        <v>4249</v>
      </c>
      <c r="Z40" s="1618">
        <v>40</v>
      </c>
      <c r="AZ40" s="1588" t="s">
        <v>4250</v>
      </c>
    </row>
    <row r="41" spans="1:52" s="223" customFormat="1" ht="15" customHeight="1">
      <c r="A41" s="144"/>
      <c r="B41" s="3111" t="s">
        <v>2397</v>
      </c>
      <c r="C41" s="3112"/>
      <c r="D41" s="3112"/>
      <c r="E41" s="3113"/>
      <c r="F41" s="3114"/>
      <c r="G41" s="3114"/>
      <c r="H41" s="3115"/>
      <c r="I41" s="3166"/>
      <c r="J41" s="3167"/>
      <c r="K41" s="643"/>
      <c r="L41" s="810"/>
      <c r="M41" s="810"/>
      <c r="N41" s="3168"/>
      <c r="O41" s="3168"/>
      <c r="P41" s="3169" t="str">
        <f>IF(OR(I41&lt;=0,I41=""),"",IF(N41="Cash Flow",0,IF(N41="Amortizing",-PMT(K41/12,M41*12,I41,0,0)*12,"")))</f>
        <v/>
      </c>
      <c r="Q41" s="3169"/>
      <c r="S41" s="3084"/>
      <c r="T41" s="3085"/>
      <c r="Y41" s="2475" t="s">
        <v>4250</v>
      </c>
      <c r="Z41" s="1618">
        <v>41</v>
      </c>
      <c r="AZ41" s="1588" t="s">
        <v>4251</v>
      </c>
    </row>
    <row r="42" spans="1:52" s="223" customFormat="1" ht="15" customHeight="1">
      <c r="A42" s="144"/>
      <c r="B42" s="3111" t="s">
        <v>2398</v>
      </c>
      <c r="C42" s="3112"/>
      <c r="D42" s="3112"/>
      <c r="E42" s="3113"/>
      <c r="F42" s="3114"/>
      <c r="G42" s="3114"/>
      <c r="H42" s="3115"/>
      <c r="I42" s="3166"/>
      <c r="J42" s="3167"/>
      <c r="K42" s="643"/>
      <c r="L42" s="810"/>
      <c r="M42" s="810"/>
      <c r="N42" s="3168"/>
      <c r="O42" s="3168"/>
      <c r="P42" s="3169" t="str">
        <f>IF(OR(I42&lt;=0,I42=""),"",IF(N42="Cash Flow",0,IF(N42="Amortizing",-PMT(K42/12,M42*12,I42,0,0)*12,"")))</f>
        <v/>
      </c>
      <c r="Q42" s="3169"/>
      <c r="S42" s="3084"/>
      <c r="T42" s="3085"/>
      <c r="Y42" s="2475" t="s">
        <v>4251</v>
      </c>
      <c r="Z42" s="1618">
        <v>42</v>
      </c>
      <c r="AZ42" s="1588" t="s">
        <v>4252</v>
      </c>
    </row>
    <row r="43" spans="1:52" s="223" customFormat="1" ht="15" customHeight="1">
      <c r="A43" s="144"/>
      <c r="B43" s="807" t="s">
        <v>689</v>
      </c>
      <c r="C43" s="3174"/>
      <c r="D43" s="3175"/>
      <c r="E43" s="3113"/>
      <c r="F43" s="3114"/>
      <c r="G43" s="3114"/>
      <c r="H43" s="3115"/>
      <c r="I43" s="3176"/>
      <c r="J43" s="3177"/>
      <c r="K43" s="644"/>
      <c r="L43" s="805"/>
      <c r="M43" s="805"/>
      <c r="N43" s="3178"/>
      <c r="O43" s="3178"/>
      <c r="P43" s="3179" t="str">
        <f>IF(OR(I43&lt;=0,I43=""),"",IF(N43="Cash Flow",0,IF(N43="Amortizing",-PMT(K43/12,M43*12,I43,0,0)*12,"")))</f>
        <v/>
      </c>
      <c r="Q43" s="3179"/>
      <c r="S43" s="3084"/>
      <c r="T43" s="3085"/>
      <c r="Y43" s="2475" t="s">
        <v>4252</v>
      </c>
      <c r="Z43" s="1618">
        <v>43</v>
      </c>
      <c r="AZ43" s="1588" t="s">
        <v>4253</v>
      </c>
    </row>
    <row r="44" spans="1:52" s="223" customFormat="1" ht="15" customHeight="1">
      <c r="A44" s="144"/>
      <c r="B44" s="807" t="s">
        <v>3819</v>
      </c>
      <c r="C44" s="144"/>
      <c r="D44" s="811"/>
      <c r="E44" s="3113"/>
      <c r="F44" s="3114"/>
      <c r="G44" s="3114"/>
      <c r="H44" s="3115"/>
      <c r="I44" s="3166"/>
      <c r="J44" s="3167"/>
      <c r="K44" s="363"/>
      <c r="L44" s="806"/>
      <c r="M44" s="806"/>
      <c r="N44" s="3180"/>
      <c r="O44" s="3180"/>
      <c r="P44" s="3181"/>
      <c r="Q44" s="3181"/>
      <c r="S44" s="3084"/>
      <c r="T44" s="3085"/>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1.502377221143494E-2</v>
      </c>
      <c r="E45" s="3127" t="s">
        <v>5129</v>
      </c>
      <c r="F45" s="3128"/>
      <c r="G45" s="3128"/>
      <c r="H45" s="3129"/>
      <c r="I45" s="3182">
        <f>I61-SUM(I40,I51:J52)</f>
        <v>27763.93104673177</v>
      </c>
      <c r="J45" s="3183"/>
      <c r="K45" s="641">
        <v>0</v>
      </c>
      <c r="L45" s="640">
        <v>15</v>
      </c>
      <c r="M45" s="640"/>
      <c r="N45" s="2931" t="s">
        <v>1095</v>
      </c>
      <c r="O45" s="2932"/>
      <c r="P45" s="3184">
        <f>IF(OR(I45&lt;=0,I45=""),"",IF(N45="Cash Flow",0,IF(N45="Amortizing",-PMT(K45/12,M45*12,I45,0,0)*12,"")))</f>
        <v>0</v>
      </c>
      <c r="Q45" s="3185"/>
      <c r="S45" s="3084"/>
      <c r="T45" s="3085"/>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4"/>
      <c r="T46" s="3085"/>
      <c r="Y46" s="2475"/>
      <c r="Z46" s="1618">
        <v>46</v>
      </c>
      <c r="AZ46" s="1588"/>
    </row>
    <row r="47" spans="1:52" s="223" customFormat="1" ht="15" customHeight="1">
      <c r="A47" s="144"/>
      <c r="B47" s="223" t="s">
        <v>3318</v>
      </c>
      <c r="C47" s="144"/>
      <c r="E47" s="223" t="s">
        <v>3276</v>
      </c>
      <c r="F47" s="3186">
        <f>IF(OR($I$45="",$I$45=0,'Part VI-Pro Forma'!$S$35=0,'Part VI-Pro Forma'!$S$35=""),"",VLOOKUP($L$45,'Part VI-Pro Forma'!$Q$21:$S$40,3))</f>
        <v>1291103.1013791848</v>
      </c>
      <c r="G47" s="3187"/>
      <c r="H47" s="484" t="s">
        <v>3317</v>
      </c>
      <c r="I47" s="3186">
        <f>IF(OR($I$45="",$I$45=0,'Part VI-Pro Forma'!$R$35=0,'Part VI-Pro Forma'!$R$35=""),"",VLOOKUP($L$45,'Part VI-Pro Forma'!$Q$21:$S$35,2))</f>
        <v>27763.93104673177</v>
      </c>
      <c r="J47" s="3187"/>
      <c r="K47" s="484" t="s">
        <v>3319</v>
      </c>
      <c r="L47" s="3188">
        <f>IF(OR($F$47 = 0,$F$47 =""),"",$I$47/$F$47)</f>
        <v>2.1504038691467574E-2</v>
      </c>
      <c r="M47" s="3189"/>
      <c r="N47" s="3190" t="s">
        <v>3724</v>
      </c>
      <c r="O47" s="3191"/>
      <c r="P47" s="3192">
        <f>IF(OR($I$62=0,$I$60&gt;$I$61),0,ABS($I$60-$I$61))</f>
        <v>0</v>
      </c>
      <c r="Q47" s="3193"/>
      <c r="S47" s="3084"/>
      <c r="T47" s="3085"/>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6"/>
      <c r="T48" s="3087"/>
      <c r="Y48" s="2475"/>
      <c r="Z48" s="1618">
        <v>48</v>
      </c>
      <c r="AZ48" s="1588" t="s">
        <v>4255</v>
      </c>
    </row>
    <row r="49" spans="1:52" s="223" customFormat="1" ht="15" customHeight="1">
      <c r="A49" s="144"/>
      <c r="B49" s="3194" t="s">
        <v>2042</v>
      </c>
      <c r="C49" s="3195"/>
      <c r="D49" s="3196"/>
      <c r="E49" s="3138"/>
      <c r="F49" s="3139"/>
      <c r="G49" s="3139"/>
      <c r="H49" s="3140"/>
      <c r="I49" s="3197"/>
      <c r="J49" s="3198"/>
      <c r="K49" s="144"/>
      <c r="L49" s="144"/>
      <c r="M49" s="144"/>
      <c r="N49" s="144"/>
      <c r="O49" s="144"/>
      <c r="P49" s="248" t="s">
        <v>482</v>
      </c>
      <c r="Q49" s="144"/>
      <c r="S49" s="3082"/>
      <c r="T49" s="3083"/>
      <c r="Y49" s="2475" t="s">
        <v>4255</v>
      </c>
      <c r="Z49" s="1618">
        <v>49</v>
      </c>
      <c r="AZ49" s="1588" t="s">
        <v>4256</v>
      </c>
    </row>
    <row r="50" spans="1:52" s="223" customFormat="1" ht="15" customHeight="1">
      <c r="A50" s="144"/>
      <c r="B50" s="3111" t="s">
        <v>744</v>
      </c>
      <c r="C50" s="3112"/>
      <c r="D50" s="3199"/>
      <c r="E50" s="3113"/>
      <c r="F50" s="3114"/>
      <c r="G50" s="3114"/>
      <c r="H50" s="3115"/>
      <c r="I50" s="3166"/>
      <c r="J50" s="3167"/>
      <c r="L50" s="3200" t="s">
        <v>483</v>
      </c>
      <c r="M50" s="3200"/>
      <c r="N50" s="3201" t="s">
        <v>484</v>
      </c>
      <c r="O50" s="3201"/>
      <c r="P50" s="313" t="s">
        <v>2351</v>
      </c>
      <c r="Q50" s="144"/>
      <c r="S50" s="3084"/>
      <c r="T50" s="3085"/>
      <c r="Y50" s="2475" t="s">
        <v>4256</v>
      </c>
      <c r="Z50" s="1618">
        <v>50</v>
      </c>
      <c r="AZ50" s="1588" t="s">
        <v>4257</v>
      </c>
    </row>
    <row r="51" spans="1:52" s="223" customFormat="1" ht="15" customHeight="1">
      <c r="A51" s="144"/>
      <c r="B51" s="3111" t="s">
        <v>745</v>
      </c>
      <c r="C51" s="3112"/>
      <c r="D51" s="3199"/>
      <c r="E51" s="3113" t="s">
        <v>5141</v>
      </c>
      <c r="F51" s="3114"/>
      <c r="G51" s="3114"/>
      <c r="H51" s="3115"/>
      <c r="I51" s="3176">
        <v>12027285</v>
      </c>
      <c r="J51" s="3177"/>
      <c r="L51" s="3202">
        <f>'Part III-A-Uses of Funds'!$J$191*10*'Part III-A-Uses of Funds'!$N$182</f>
        <v>12150000</v>
      </c>
      <c r="M51" s="3202"/>
      <c r="N51" s="3203">
        <f>I51-L51</f>
        <v>-122715</v>
      </c>
      <c r="O51" s="3203"/>
      <c r="P51" s="323">
        <f>I51/I61</f>
        <v>0.53569956518092521</v>
      </c>
      <c r="Q51" s="144"/>
      <c r="S51" s="3084"/>
      <c r="T51" s="3085"/>
      <c r="Y51" s="2475" t="s">
        <v>4257</v>
      </c>
      <c r="Z51" s="1618">
        <v>51</v>
      </c>
      <c r="AZ51" s="1588" t="s">
        <v>4258</v>
      </c>
    </row>
    <row r="52" spans="1:52" s="223" customFormat="1" ht="15" customHeight="1">
      <c r="A52" s="144"/>
      <c r="B52" s="3111" t="s">
        <v>746</v>
      </c>
      <c r="C52" s="3112"/>
      <c r="D52" s="3199"/>
      <c r="E52" s="3113" t="s">
        <v>5139</v>
      </c>
      <c r="F52" s="3114"/>
      <c r="G52" s="3114"/>
      <c r="H52" s="3115"/>
      <c r="I52" s="3166">
        <v>7546500</v>
      </c>
      <c r="J52" s="3166"/>
      <c r="L52" s="3202">
        <f>'Part III-A-Uses of Funds'!$J$191*10*'Part III-A-Uses of Funds'!$Q$182</f>
        <v>7425000.0000000009</v>
      </c>
      <c r="M52" s="3202"/>
      <c r="N52" s="3203">
        <f>I52-L52</f>
        <v>121499.99999999907</v>
      </c>
      <c r="O52" s="3203"/>
      <c r="P52" s="323">
        <f>I52/I61</f>
        <v>0.33612380255709012</v>
      </c>
      <c r="Q52" s="144"/>
      <c r="S52" s="3084"/>
      <c r="T52" s="3085"/>
      <c r="Y52" s="2475" t="s">
        <v>4258</v>
      </c>
      <c r="Z52" s="1618">
        <v>52</v>
      </c>
      <c r="AZ52" s="1588" t="s">
        <v>4259</v>
      </c>
    </row>
    <row r="53" spans="1:52" s="223" customFormat="1" ht="15" customHeight="1">
      <c r="A53" s="144"/>
      <c r="B53" s="3111" t="s">
        <v>1329</v>
      </c>
      <c r="C53" s="3112"/>
      <c r="D53" s="3199"/>
      <c r="E53" s="3113"/>
      <c r="F53" s="3114"/>
      <c r="G53" s="3114"/>
      <c r="H53" s="3115"/>
      <c r="I53" s="3166"/>
      <c r="J53" s="3166"/>
      <c r="P53" s="324">
        <f>SUM(P51:P52)</f>
        <v>0.87182336773801539</v>
      </c>
      <c r="Q53" s="144"/>
      <c r="S53" s="3086"/>
      <c r="T53" s="3087"/>
      <c r="Y53" s="2475" t="s">
        <v>4259</v>
      </c>
      <c r="Z53" s="1618">
        <v>53</v>
      </c>
      <c r="AZ53" s="1588"/>
    </row>
    <row r="54" spans="1:52" s="223" customFormat="1" ht="15" customHeight="1">
      <c r="A54" s="144"/>
      <c r="B54" s="807" t="s">
        <v>496</v>
      </c>
      <c r="C54" s="144"/>
      <c r="D54" s="811"/>
      <c r="E54" s="3113"/>
      <c r="F54" s="3114"/>
      <c r="G54" s="3114"/>
      <c r="H54" s="3115"/>
      <c r="I54" s="3166"/>
      <c r="J54" s="3166"/>
      <c r="K54" s="144"/>
      <c r="Q54" s="144"/>
      <c r="S54" s="3084"/>
      <c r="T54" s="3085"/>
      <c r="Y54" s="2475"/>
      <c r="Z54" s="1618">
        <v>54</v>
      </c>
      <c r="AZ54" s="1588"/>
    </row>
    <row r="55" spans="1:52" s="223" customFormat="1" ht="15" customHeight="1">
      <c r="A55" s="144"/>
      <c r="B55" s="807" t="s">
        <v>1727</v>
      </c>
      <c r="C55" s="144"/>
      <c r="D55" s="811"/>
      <c r="E55" s="3113"/>
      <c r="F55" s="3114"/>
      <c r="G55" s="3114"/>
      <c r="H55" s="3115"/>
      <c r="I55" s="3166"/>
      <c r="J55" s="3166"/>
      <c r="N55" s="301"/>
      <c r="O55" s="301"/>
      <c r="P55" s="301"/>
      <c r="Q55" s="144"/>
      <c r="S55" s="3084"/>
      <c r="T55" s="3085"/>
      <c r="Y55" s="2475"/>
      <c r="Z55" s="1618">
        <v>55</v>
      </c>
      <c r="AZ55" s="1588"/>
    </row>
    <row r="56" spans="1:52" s="223" customFormat="1" ht="15" customHeight="1">
      <c r="A56" s="144"/>
      <c r="B56" s="807" t="s">
        <v>1728</v>
      </c>
      <c r="C56" s="144"/>
      <c r="D56" s="811"/>
      <c r="E56" s="3113"/>
      <c r="F56" s="3114"/>
      <c r="G56" s="3114"/>
      <c r="H56" s="3115"/>
      <c r="I56" s="3166"/>
      <c r="J56" s="3166"/>
      <c r="M56" s="301"/>
      <c r="N56" s="301"/>
      <c r="O56" s="301"/>
      <c r="P56" s="301"/>
      <c r="Q56" s="144"/>
      <c r="S56" s="3084"/>
      <c r="T56" s="3085"/>
      <c r="Y56" s="2475"/>
      <c r="Z56" s="1618">
        <v>56</v>
      </c>
      <c r="AZ56" s="1588" t="s">
        <v>4260</v>
      </c>
    </row>
    <row r="57" spans="1:52" s="223" customFormat="1" ht="15" customHeight="1">
      <c r="A57" s="144"/>
      <c r="B57" s="807" t="s">
        <v>689</v>
      </c>
      <c r="C57" s="3154"/>
      <c r="D57" s="3154"/>
      <c r="E57" s="3113"/>
      <c r="F57" s="3114"/>
      <c r="G57" s="3114"/>
      <c r="H57" s="3115"/>
      <c r="I57" s="3166"/>
      <c r="J57" s="3166"/>
      <c r="M57" s="301"/>
      <c r="N57" s="301"/>
      <c r="O57" s="301"/>
      <c r="P57" s="301"/>
      <c r="Q57" s="144"/>
      <c r="S57" s="3084"/>
      <c r="T57" s="3085"/>
      <c r="Y57" s="2475" t="s">
        <v>4260</v>
      </c>
      <c r="Z57" s="1618">
        <v>57</v>
      </c>
      <c r="AZ57" s="1588" t="s">
        <v>4261</v>
      </c>
    </row>
    <row r="58" spans="1:52" s="223" customFormat="1" ht="15" customHeight="1">
      <c r="A58" s="144"/>
      <c r="B58" s="807" t="s">
        <v>689</v>
      </c>
      <c r="C58" s="3155"/>
      <c r="D58" s="3155"/>
      <c r="E58" s="3113"/>
      <c r="F58" s="3114"/>
      <c r="G58" s="3114"/>
      <c r="H58" s="3115"/>
      <c r="I58" s="3166"/>
      <c r="J58" s="3166"/>
      <c r="K58" s="144"/>
      <c r="L58" s="248"/>
      <c r="M58" s="301"/>
      <c r="N58" s="301"/>
      <c r="O58" s="301"/>
      <c r="P58" s="301"/>
      <c r="Q58" s="144"/>
      <c r="S58" s="3084"/>
      <c r="T58" s="3085"/>
      <c r="Y58" s="2475" t="s">
        <v>4261</v>
      </c>
      <c r="Z58" s="1618">
        <v>58</v>
      </c>
      <c r="AZ58" s="1588" t="s">
        <v>4262</v>
      </c>
    </row>
    <row r="59" spans="1:52" s="223" customFormat="1" ht="15" customHeight="1">
      <c r="A59" s="144"/>
      <c r="B59" s="812" t="s">
        <v>689</v>
      </c>
      <c r="C59" s="3159"/>
      <c r="D59" s="3159"/>
      <c r="E59" s="3127"/>
      <c r="F59" s="3128"/>
      <c r="G59" s="3128"/>
      <c r="H59" s="3129"/>
      <c r="I59" s="3207"/>
      <c r="J59" s="3207"/>
      <c r="K59" s="144"/>
      <c r="L59" s="248"/>
      <c r="M59" s="301"/>
      <c r="N59" s="301"/>
      <c r="O59" s="301"/>
      <c r="P59" s="301"/>
      <c r="Q59" s="144"/>
      <c r="S59" s="3084"/>
      <c r="T59" s="3085"/>
      <c r="Y59" s="2475" t="s">
        <v>4262</v>
      </c>
      <c r="Z59" s="1618">
        <v>59</v>
      </c>
      <c r="AZ59" s="1588"/>
    </row>
    <row r="60" spans="1:52" s="223" customFormat="1" ht="14.25" customHeight="1">
      <c r="A60" s="144"/>
      <c r="B60" s="246" t="s">
        <v>2043</v>
      </c>
      <c r="C60" s="144"/>
      <c r="D60" s="144"/>
      <c r="E60" s="144"/>
      <c r="F60" s="144"/>
      <c r="G60" s="144"/>
      <c r="I60" s="3208">
        <f>SUM(I40:J45)+SUM(I49:J59)</f>
        <v>22451548.931046732</v>
      </c>
      <c r="J60" s="3209"/>
      <c r="K60" s="144"/>
      <c r="L60" s="248"/>
      <c r="M60" s="301"/>
      <c r="N60" s="301"/>
      <c r="O60" s="301"/>
      <c r="P60" s="301"/>
      <c r="Q60" s="144"/>
      <c r="S60" s="3084"/>
      <c r="T60" s="3085"/>
      <c r="Y60" s="2475"/>
      <c r="Z60" s="1618">
        <v>60</v>
      </c>
      <c r="AZ60" s="1588"/>
    </row>
    <row r="61" spans="1:52" s="223" customFormat="1" ht="14.25" customHeight="1" thickBot="1">
      <c r="A61" s="144"/>
      <c r="B61" s="246" t="s">
        <v>2044</v>
      </c>
      <c r="C61" s="144"/>
      <c r="D61" s="144"/>
      <c r="E61" s="144"/>
      <c r="F61" s="144"/>
      <c r="G61" s="144"/>
      <c r="I61" s="3210">
        <f>'Part III-A-Uses of Funds'!$G$146</f>
        <v>22451548.931046732</v>
      </c>
      <c r="J61" s="3211"/>
      <c r="K61" s="144"/>
      <c r="L61" s="248"/>
      <c r="M61" s="301"/>
      <c r="N61" s="301"/>
      <c r="O61" s="301"/>
      <c r="P61" s="301"/>
      <c r="Q61" s="144"/>
      <c r="S61" s="3084"/>
      <c r="T61" s="3085"/>
      <c r="Y61" s="2475"/>
      <c r="Z61" s="1618">
        <v>61</v>
      </c>
      <c r="AZ61" s="1588"/>
    </row>
    <row r="62" spans="1:52" s="223" customFormat="1" ht="14.25" customHeight="1" thickBot="1">
      <c r="A62" s="144"/>
      <c r="B62" s="246" t="s">
        <v>1426</v>
      </c>
      <c r="C62" s="144"/>
      <c r="D62" s="144"/>
      <c r="E62" s="144"/>
      <c r="F62" s="144"/>
      <c r="G62" s="144"/>
      <c r="I62" s="3212">
        <f>I60-I61</f>
        <v>0</v>
      </c>
      <c r="J62" s="3213"/>
      <c r="K62" s="144"/>
      <c r="L62" s="248"/>
      <c r="M62" s="301"/>
      <c r="N62" s="301"/>
      <c r="O62" s="301"/>
      <c r="P62" s="301"/>
      <c r="Q62" s="144"/>
      <c r="S62" s="3086"/>
      <c r="T62" s="3087"/>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4" t="s">
        <v>5140</v>
      </c>
      <c r="B66" s="3204"/>
      <c r="C66" s="3204"/>
      <c r="D66" s="3204"/>
      <c r="E66" s="3204"/>
      <c r="F66" s="3204"/>
      <c r="G66" s="3204"/>
      <c r="H66" s="3204"/>
      <c r="I66" s="3204"/>
      <c r="J66" s="3204"/>
      <c r="K66" s="3204"/>
      <c r="L66" s="3204"/>
      <c r="M66" s="3205"/>
      <c r="N66" s="3205"/>
      <c r="O66" s="3205"/>
      <c r="P66" s="3205"/>
      <c r="Q66" s="3205"/>
      <c r="S66" s="3206" t="s">
        <v>2445</v>
      </c>
      <c r="T66" s="320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75" bottom="0.5" header="0.3" footer="0.3"/>
  <pageSetup scale="94"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4" t="e">
        <f>CONCATENATE("PART III B: USD 538 LOAN","  -  ",#REF!," ",#REF!,", ",#REF!,", ",#REF!," County")</f>
        <v>#REF!</v>
      </c>
      <c r="B1" s="3215"/>
      <c r="C1" s="3215"/>
      <c r="D1" s="3215"/>
      <c r="E1" s="3215"/>
      <c r="F1" s="321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2" t="s">
        <v>210</v>
      </c>
      <c r="B3" s="3222"/>
      <c r="C3" s="3222"/>
      <c r="D3" s="3222"/>
      <c r="E3" s="3222"/>
      <c r="F3" s="3222"/>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3" t="s">
        <v>122</v>
      </c>
      <c r="B14" s="3223"/>
      <c r="C14" s="3223"/>
      <c r="D14" s="3223"/>
      <c r="E14" s="3223"/>
      <c r="F14" s="3223"/>
      <c r="G14" s="162"/>
      <c r="H14" s="162"/>
    </row>
    <row r="15" spans="1:17" ht="5.65" customHeight="1">
      <c r="A15" s="10"/>
      <c r="E15" s="169"/>
      <c r="F15" s="162"/>
      <c r="G15" s="162"/>
      <c r="H15" s="162"/>
    </row>
    <row r="16" spans="1:17" ht="13.35" customHeight="1">
      <c r="A16" s="170" t="s">
        <v>2278</v>
      </c>
      <c r="B16" s="171" t="s">
        <v>2275</v>
      </c>
      <c r="C16" s="171" t="s">
        <v>2276</v>
      </c>
      <c r="D16" s="3220" t="s">
        <v>2077</v>
      </c>
      <c r="E16" s="3220"/>
      <c r="F16" s="162"/>
      <c r="G16" s="162"/>
      <c r="H16" s="162"/>
    </row>
    <row r="17" spans="1:8" ht="12.6" customHeight="1">
      <c r="A17" s="60">
        <v>1</v>
      </c>
      <c r="B17" s="155">
        <f>IF(A17&gt;$C$9,0,SUM(C64:C75)*($C$6/$C$7))</f>
        <v>0</v>
      </c>
      <c r="C17" s="158">
        <f>IF(A17&gt;C9,0,(E63+K63)*$C$8)</f>
        <v>0</v>
      </c>
      <c r="D17" s="3224">
        <f t="shared" ref="D17:D56" si="0">IF(A17&gt;$C$9,0,$C$11+C17)</f>
        <v>0</v>
      </c>
      <c r="E17" s="3224"/>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21" t="e">
        <f>CONCATENATE(#REF!," ",#REF!,", ",#REF!,", ",#REF!," County")</f>
        <v>#REF!</v>
      </c>
      <c r="B58" s="3221"/>
      <c r="C58" s="3221"/>
      <c r="D58" s="3221"/>
      <c r="E58" s="3221"/>
      <c r="F58" s="3221"/>
      <c r="G58" s="3221" t="e">
        <f>CONCATENATE(#REF!," ",#REF!,", ",#REF!,", ",#REF!," County")</f>
        <v>#REF!</v>
      </c>
      <c r="H58" s="3221"/>
      <c r="I58" s="3221"/>
      <c r="J58" s="3221"/>
      <c r="K58" s="3221"/>
      <c r="L58" s="3221"/>
    </row>
    <row r="59" spans="1:12" ht="15">
      <c r="A59" s="3222" t="s">
        <v>2269</v>
      </c>
      <c r="B59" s="3222"/>
      <c r="C59" s="3222"/>
      <c r="D59" s="3222"/>
      <c r="E59" s="3222"/>
      <c r="F59" s="3222"/>
      <c r="G59" s="3222" t="s">
        <v>2269</v>
      </c>
      <c r="H59" s="3222"/>
      <c r="I59" s="3222"/>
      <c r="J59" s="3222"/>
      <c r="K59" s="3222"/>
      <c r="L59" s="3222"/>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4" t="e">
        <f>CONCATENATE("PART III C  - HUD INSURED LOAN","  -  ",#REF!," ",#REF!,", ",#REF!,", ",#REF!," County")</f>
        <v>#REF!</v>
      </c>
      <c r="B1" s="3215"/>
      <c r="C1" s="3215"/>
      <c r="D1" s="3215"/>
      <c r="E1" s="3215"/>
      <c r="F1" s="3216"/>
      <c r="G1" s="139"/>
      <c r="H1" s="139"/>
      <c r="I1" s="139"/>
      <c r="J1" s="139"/>
      <c r="K1" s="139"/>
      <c r="L1" s="139"/>
      <c r="M1" s="139"/>
      <c r="N1" s="139"/>
      <c r="O1" s="139"/>
      <c r="P1" s="139"/>
      <c r="Q1" s="139"/>
    </row>
    <row r="2" spans="1:17">
      <c r="A2" s="10"/>
    </row>
    <row r="3" spans="1:17" ht="15.6" customHeight="1">
      <c r="A3" s="3222" t="s">
        <v>210</v>
      </c>
      <c r="B3" s="3222"/>
      <c r="C3" s="3222"/>
      <c r="D3" s="3222"/>
      <c r="E3" s="3222"/>
      <c r="F3" s="3222"/>
      <c r="G3" s="189"/>
      <c r="H3" s="189"/>
    </row>
    <row r="4" spans="1:17">
      <c r="A4" s="10"/>
    </row>
    <row r="5" spans="1:17" ht="13.35" customHeight="1">
      <c r="A5" t="s">
        <v>2078</v>
      </c>
      <c r="D5" s="183"/>
      <c r="E5" s="3225" t="s">
        <v>894</v>
      </c>
      <c r="F5" s="3226"/>
      <c r="G5" s="126"/>
    </row>
    <row r="6" spans="1:17">
      <c r="E6" s="3226"/>
      <c r="F6" s="3226"/>
      <c r="G6" s="126"/>
    </row>
    <row r="7" spans="1:17">
      <c r="A7" t="s">
        <v>2261</v>
      </c>
      <c r="C7" t="s">
        <v>2262</v>
      </c>
      <c r="D7" s="184"/>
      <c r="E7" s="3226"/>
      <c r="F7" s="3226"/>
      <c r="G7" s="126"/>
    </row>
    <row r="8" spans="1:17">
      <c r="C8" t="s">
        <v>2263</v>
      </c>
      <c r="D8" s="184"/>
      <c r="E8" s="3226"/>
      <c r="F8" s="3226"/>
      <c r="G8" s="126"/>
    </row>
    <row r="9" spans="1:17">
      <c r="C9" t="s">
        <v>2264</v>
      </c>
      <c r="D9" s="184"/>
      <c r="E9" s="3226"/>
      <c r="F9" s="3226"/>
      <c r="G9" s="126"/>
    </row>
    <row r="10" spans="1:17">
      <c r="C10" t="s">
        <v>2277</v>
      </c>
      <c r="D10" s="190">
        <f>D7+D8+D9</f>
        <v>0</v>
      </c>
      <c r="E10" s="3226"/>
      <c r="F10" s="3226"/>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3" t="s">
        <v>1594</v>
      </c>
      <c r="B24" s="3223"/>
      <c r="C24" s="3223"/>
      <c r="D24" s="3223"/>
      <c r="E24" s="3223"/>
      <c r="F24" s="3223"/>
      <c r="J24" s="192"/>
    </row>
    <row r="25" spans="1:10">
      <c r="C25" s="161"/>
      <c r="J25" s="192"/>
    </row>
    <row r="26" spans="1:10">
      <c r="A26" s="82"/>
      <c r="B26" s="60"/>
      <c r="C26" s="3227" t="s">
        <v>2077</v>
      </c>
      <c r="D26" s="188"/>
      <c r="E26" s="60"/>
      <c r="F26" s="3227" t="s">
        <v>2077</v>
      </c>
      <c r="J26" s="192"/>
    </row>
    <row r="27" spans="1:10">
      <c r="A27" s="193" t="s">
        <v>2278</v>
      </c>
      <c r="B27" s="24" t="s">
        <v>961</v>
      </c>
      <c r="C27" s="3228"/>
      <c r="D27" s="194" t="s">
        <v>2278</v>
      </c>
      <c r="E27" s="24" t="s">
        <v>961</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1" t="e">
        <f>CONCATENATE(#REF!," ",#REF!,", ",#REF!,", ",#REF!," County")</f>
        <v>#REF!</v>
      </c>
      <c r="B50" s="3221"/>
      <c r="C50" s="3221"/>
      <c r="D50" s="3221"/>
      <c r="E50" s="3221"/>
      <c r="F50" s="3221"/>
      <c r="G50" s="41"/>
      <c r="H50" s="41"/>
    </row>
    <row r="51" spans="1:10" ht="15">
      <c r="A51" s="3222" t="s">
        <v>2269</v>
      </c>
      <c r="B51" s="3222"/>
      <c r="C51" s="3222"/>
      <c r="D51" s="3222"/>
      <c r="E51" s="3222"/>
      <c r="F51" s="3222"/>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dimension ref="A1:BA246"/>
  <sheetViews>
    <sheetView showGridLines="0" view="pageBreakPreview" topLeftCell="A149" zoomScale="60" zoomScaleNormal="100" workbookViewId="0">
      <selection activeCell="X43" sqref="X4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9" t="str">
        <f>CONCATENATE("PART THREE (A):  USES OF FUNDS","  -  ",'Part I-Project Identification'!$O$7," ",'Part I-Project Identification'!$F$26,", ",'Part I-Project Identification'!F27,", ",'Part I-Project Identification'!J27," County")</f>
        <v>PART THREE (A):  USES OF FUNDS  -  2024-0 Flats at Lake View II, Warner Robins, Houston County</v>
      </c>
      <c r="B2" s="3230"/>
      <c r="C2" s="3230"/>
      <c r="D2" s="3230"/>
      <c r="E2" s="3230"/>
      <c r="F2" s="3230"/>
      <c r="G2" s="3230"/>
      <c r="H2" s="3230"/>
      <c r="I2" s="3230"/>
      <c r="J2" s="3230"/>
      <c r="K2" s="3230"/>
      <c r="L2" s="3230"/>
      <c r="M2" s="3230"/>
      <c r="N2" s="3230"/>
      <c r="O2" s="3230"/>
      <c r="P2" s="3230"/>
      <c r="Q2" s="3230"/>
      <c r="R2" s="3230"/>
      <c r="S2" s="3230"/>
      <c r="T2" s="3230"/>
      <c r="W2" s="3231" t="str">
        <f>A2</f>
        <v>PART THREE (A):  USES OF FUNDS  -  2024-0 Flats at Lake View II, Warner Robins, Houston County</v>
      </c>
      <c r="X2" s="323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2" t="str">
        <f>'Part I-Project Identification'!$A$6</f>
        <v>2024 May 7</v>
      </c>
      <c r="E6" s="3232"/>
      <c r="F6" s="3232"/>
      <c r="G6" s="3232"/>
      <c r="H6" s="3232"/>
      <c r="I6" s="375"/>
      <c r="J6" s="3233" t="s">
        <v>259</v>
      </c>
      <c r="K6" s="3234"/>
      <c r="L6" s="280"/>
      <c r="M6" s="3237" t="s">
        <v>459</v>
      </c>
      <c r="N6" s="3238"/>
      <c r="P6" s="3233" t="s">
        <v>260</v>
      </c>
      <c r="Q6" s="3234"/>
      <c r="S6" s="3233" t="s">
        <v>261</v>
      </c>
      <c r="T6" s="3234"/>
      <c r="V6" s="343" t="str">
        <f>B6</f>
        <v>DEVELOPMENT BUDGET</v>
      </c>
      <c r="AZ6" s="1655"/>
      <c r="BA6" s="1618">
        <v>6</v>
      </c>
    </row>
    <row r="7" spans="1:53" s="144" customFormat="1" ht="19.5" customHeight="1" thickBot="1">
      <c r="D7" s="1168"/>
      <c r="E7" s="1168"/>
      <c r="F7" s="1168"/>
      <c r="G7" s="3241" t="s">
        <v>95</v>
      </c>
      <c r="H7" s="3242"/>
      <c r="J7" s="3235"/>
      <c r="K7" s="3236"/>
      <c r="L7" s="280"/>
      <c r="M7" s="3239"/>
      <c r="N7" s="3240"/>
      <c r="P7" s="3235"/>
      <c r="Q7" s="3236"/>
      <c r="S7" s="3235"/>
      <c r="T7" s="323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1">
        <v>4500</v>
      </c>
      <c r="H9" s="3142"/>
      <c r="J9" s="3141">
        <v>4500</v>
      </c>
      <c r="K9" s="3142"/>
      <c r="L9" s="815"/>
      <c r="M9" s="3141"/>
      <c r="N9" s="3142"/>
      <c r="P9" s="3141"/>
      <c r="Q9" s="3142"/>
      <c r="S9" s="3141"/>
      <c r="T9" s="3142"/>
      <c r="V9" s="836"/>
      <c r="W9" s="3243"/>
      <c r="X9" s="3244"/>
      <c r="AZ9" s="1655"/>
      <c r="BA9" s="1618">
        <v>9</v>
      </c>
    </row>
    <row r="10" spans="1:53" s="144" customFormat="1" ht="11.25" customHeight="1">
      <c r="B10" s="144" t="s">
        <v>430</v>
      </c>
      <c r="G10" s="3116">
        <v>9000</v>
      </c>
      <c r="H10" s="3117"/>
      <c r="J10" s="3116">
        <f>G10</f>
        <v>9000</v>
      </c>
      <c r="K10" s="3117"/>
      <c r="L10" s="815"/>
      <c r="M10" s="3116"/>
      <c r="N10" s="3117"/>
      <c r="P10" s="3116"/>
      <c r="Q10" s="3117"/>
      <c r="S10" s="3116"/>
      <c r="T10" s="3117"/>
      <c r="V10" s="836"/>
      <c r="W10" s="3243"/>
      <c r="X10" s="3244"/>
      <c r="AZ10" s="1655"/>
      <c r="BA10" s="1618">
        <v>10</v>
      </c>
    </row>
    <row r="11" spans="1:53" s="144" customFormat="1" ht="11.25" customHeight="1">
      <c r="B11" s="144" t="s">
        <v>457</v>
      </c>
      <c r="G11" s="3116">
        <v>20000</v>
      </c>
      <c r="H11" s="3117"/>
      <c r="J11" s="3116">
        <v>20000</v>
      </c>
      <c r="K11" s="3117"/>
      <c r="L11" s="815"/>
      <c r="M11" s="3116"/>
      <c r="N11" s="3117"/>
      <c r="P11" s="3116"/>
      <c r="Q11" s="3117"/>
      <c r="S11" s="3116"/>
      <c r="T11" s="3117"/>
      <c r="V11" s="836"/>
      <c r="W11" s="3243"/>
      <c r="X11" s="3244"/>
      <c r="AZ11" s="1655"/>
      <c r="BA11" s="1618">
        <v>11</v>
      </c>
    </row>
    <row r="12" spans="1:53" s="144" customFormat="1" ht="11.25" customHeight="1">
      <c r="B12" s="144" t="s">
        <v>458</v>
      </c>
      <c r="G12" s="3116">
        <v>10000</v>
      </c>
      <c r="H12" s="3117"/>
      <c r="J12" s="3116">
        <v>10000</v>
      </c>
      <c r="K12" s="3117"/>
      <c r="L12" s="815"/>
      <c r="M12" s="3116"/>
      <c r="N12" s="3117"/>
      <c r="P12" s="3116"/>
      <c r="Q12" s="3117"/>
      <c r="S12" s="3116"/>
      <c r="T12" s="3117"/>
      <c r="V12" s="836"/>
      <c r="W12" s="3243"/>
      <c r="X12" s="3244"/>
      <c r="AZ12" s="1655"/>
      <c r="BA12" s="1618">
        <v>12</v>
      </c>
    </row>
    <row r="13" spans="1:53" s="144" customFormat="1" ht="11.25" customHeight="1">
      <c r="B13" s="144" t="s">
        <v>2295</v>
      </c>
      <c r="G13" s="3116">
        <v>10000</v>
      </c>
      <c r="H13" s="3117"/>
      <c r="J13" s="3116">
        <v>10000</v>
      </c>
      <c r="K13" s="3117"/>
      <c r="L13" s="815"/>
      <c r="M13" s="3116"/>
      <c r="N13" s="3117"/>
      <c r="P13" s="3116"/>
      <c r="Q13" s="3117"/>
      <c r="S13" s="3116"/>
      <c r="T13" s="3117"/>
      <c r="V13" s="836"/>
      <c r="W13" s="3243"/>
      <c r="X13" s="3244"/>
      <c r="AZ13" s="1655"/>
      <c r="BA13" s="1618">
        <v>13</v>
      </c>
    </row>
    <row r="14" spans="1:53" s="144" customFormat="1" ht="11.25" customHeight="1">
      <c r="B14" s="144" t="s">
        <v>183</v>
      </c>
      <c r="G14" s="3116"/>
      <c r="H14" s="3117"/>
      <c r="J14" s="3116"/>
      <c r="K14" s="3117"/>
      <c r="L14" s="815"/>
      <c r="M14" s="3116"/>
      <c r="N14" s="3117"/>
      <c r="P14" s="3116"/>
      <c r="Q14" s="3117"/>
      <c r="S14" s="3116"/>
      <c r="T14" s="3117"/>
      <c r="V14" s="836"/>
      <c r="W14" s="3243"/>
      <c r="X14" s="3244"/>
      <c r="AZ14" s="1655"/>
      <c r="BA14" s="1618">
        <v>14</v>
      </c>
    </row>
    <row r="15" spans="1:53" s="144" customFormat="1" ht="11.25" customHeight="1">
      <c r="A15" s="303" t="str">
        <f>IF(AND(G15&gt;0,OR(C15="",C15="&lt;Enter detailed description here; use Comments section if needed&gt;")),"X","")</f>
        <v/>
      </c>
      <c r="B15" s="147" t="s">
        <v>4169</v>
      </c>
      <c r="C15" s="3245" t="s">
        <v>4616</v>
      </c>
      <c r="D15" s="3245"/>
      <c r="E15" s="3245"/>
      <c r="F15" s="3246"/>
      <c r="G15" s="3116"/>
      <c r="H15" s="3117"/>
      <c r="J15" s="3116"/>
      <c r="K15" s="3117"/>
      <c r="L15" s="815"/>
      <c r="M15" s="3116"/>
      <c r="N15" s="3117"/>
      <c r="P15" s="3116"/>
      <c r="Q15" s="3117"/>
      <c r="S15" s="3116"/>
      <c r="T15" s="3117"/>
      <c r="U15" s="302" t="str">
        <f>IF(AND(G15&gt;0,OR(C15="",C15="&lt;Enter detailed description here; use Comments section if needed&gt;")),"NO DESCRIPTION PROVIDED - please enter detailed description in Other box at left; use Comments section below if needed.","")</f>
        <v/>
      </c>
      <c r="V15" s="837"/>
      <c r="W15" s="3243"/>
      <c r="X15" s="3244"/>
      <c r="AZ15" s="1655" t="s">
        <v>4263</v>
      </c>
      <c r="BA15" s="1618">
        <v>15</v>
      </c>
    </row>
    <row r="16" spans="1:53" s="144" customFormat="1" ht="11.25" customHeight="1">
      <c r="A16" s="303" t="str">
        <f>IF(AND(G16&gt;0,OR(C16="",C16="&lt;Enter detailed description here; use Comments section if needed&gt;")),"X","")</f>
        <v/>
      </c>
      <c r="B16" s="147" t="s">
        <v>4170</v>
      </c>
      <c r="C16" s="3245" t="s">
        <v>4616</v>
      </c>
      <c r="D16" s="3245"/>
      <c r="E16" s="3245"/>
      <c r="F16" s="3246"/>
      <c r="G16" s="3116"/>
      <c r="H16" s="3117"/>
      <c r="J16" s="3116"/>
      <c r="K16" s="3117"/>
      <c r="L16" s="815"/>
      <c r="M16" s="3116"/>
      <c r="N16" s="3117"/>
      <c r="P16" s="3116"/>
      <c r="Q16" s="3117"/>
      <c r="S16" s="3116"/>
      <c r="T16" s="3117"/>
      <c r="U16" s="302" t="str">
        <f>IF(AND(G16&gt;0,OR(C16="",C16="&lt;Enter detailed description here; use Comments section if needed&gt;")),"NO DESCRIPTION PROVIDED - please enter detailed description in Other box at left; use Comments section below if needed.","")</f>
        <v/>
      </c>
      <c r="V16" s="837"/>
      <c r="W16" s="3243"/>
      <c r="X16" s="3244"/>
      <c r="AZ16" s="1655" t="s">
        <v>4264</v>
      </c>
      <c r="BA16" s="1618">
        <v>16</v>
      </c>
    </row>
    <row r="17" spans="1:53" s="144" customFormat="1" ht="11.25" customHeight="1" thickBot="1">
      <c r="A17" s="303" t="str">
        <f>IF(AND(G17&gt;0,OR(C17="",C17="&lt;Enter detailed description here; use Comments section if needed&gt;")),"X","")</f>
        <v/>
      </c>
      <c r="B17" s="147" t="s">
        <v>4171</v>
      </c>
      <c r="C17" s="3245" t="s">
        <v>4616</v>
      </c>
      <c r="D17" s="3245"/>
      <c r="E17" s="3245"/>
      <c r="F17" s="3246"/>
      <c r="G17" s="3253"/>
      <c r="H17" s="3254"/>
      <c r="J17" s="3253"/>
      <c r="K17" s="3254"/>
      <c r="L17" s="815"/>
      <c r="M17" s="3253"/>
      <c r="N17" s="3254"/>
      <c r="P17" s="3253"/>
      <c r="Q17" s="3254"/>
      <c r="S17" s="3253"/>
      <c r="T17" s="3254"/>
      <c r="U17" s="302" t="str">
        <f>IF(AND(G17&gt;0,OR(C17="",C17="&lt;Enter detailed description here; use Comments section if needed&gt;")),"NO DESCRIPTION PROVIDED - please enter detailed description in Other box at left; use Comments section below if needed.","")</f>
        <v/>
      </c>
      <c r="V17" s="837"/>
      <c r="W17" s="3247"/>
      <c r="X17" s="3248"/>
      <c r="AZ17" s="1655" t="s">
        <v>4265</v>
      </c>
      <c r="BA17" s="1618">
        <v>17</v>
      </c>
    </row>
    <row r="18" spans="1:53" s="144" customFormat="1" ht="12.6" customHeight="1" thickTop="1">
      <c r="F18" s="281" t="s">
        <v>184</v>
      </c>
      <c r="G18" s="3249">
        <f>SUM(G9:G17)</f>
        <v>53500</v>
      </c>
      <c r="H18" s="3250"/>
      <c r="J18" s="3249">
        <f>SUM(J9:J17)</f>
        <v>53500</v>
      </c>
      <c r="K18" s="3250"/>
      <c r="L18" s="815"/>
      <c r="M18" s="3249">
        <f>SUM(M9:M17)</f>
        <v>0</v>
      </c>
      <c r="N18" s="3250"/>
      <c r="P18" s="3249">
        <f>SUM(P9:P17)</f>
        <v>0</v>
      </c>
      <c r="Q18" s="3250"/>
      <c r="S18" s="3249">
        <f>SUM(S9:S17)</f>
        <v>0</v>
      </c>
      <c r="T18" s="3250"/>
      <c r="V18" s="838">
        <f>SUM(V9:V17)</f>
        <v>0</v>
      </c>
      <c r="W18" s="3251"/>
      <c r="X18" s="3252"/>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157894.73684210525</v>
      </c>
      <c r="G20" s="3141">
        <v>750000</v>
      </c>
      <c r="H20" s="3142"/>
      <c r="J20" s="283"/>
      <c r="K20" s="280"/>
      <c r="L20" s="283"/>
      <c r="M20" s="283"/>
      <c r="N20" s="280"/>
      <c r="P20" s="283"/>
      <c r="Q20" s="280"/>
      <c r="S20" s="3141">
        <f>G20</f>
        <v>750000</v>
      </c>
      <c r="T20" s="3142"/>
      <c r="V20" s="836"/>
      <c r="W20" s="3243"/>
      <c r="X20" s="3244"/>
      <c r="AZ20" s="1655"/>
      <c r="BA20" s="1618">
        <v>20</v>
      </c>
    </row>
    <row r="21" spans="1:53" s="144" customFormat="1" ht="11.25" customHeight="1">
      <c r="B21" s="144" t="s">
        <v>1053</v>
      </c>
      <c r="G21" s="3116"/>
      <c r="H21" s="3117"/>
      <c r="J21" s="283"/>
      <c r="K21" s="280"/>
      <c r="L21" s="283"/>
      <c r="M21" s="283"/>
      <c r="N21" s="280"/>
      <c r="P21" s="283"/>
      <c r="Q21" s="280"/>
      <c r="S21" s="3116"/>
      <c r="T21" s="3117"/>
      <c r="V21" s="836"/>
      <c r="W21" s="3243"/>
      <c r="X21" s="3244"/>
      <c r="AZ21" s="1655"/>
      <c r="BA21" s="1618">
        <v>21</v>
      </c>
    </row>
    <row r="22" spans="1:53" s="144" customFormat="1" ht="11.25" customHeight="1">
      <c r="B22" s="144" t="s">
        <v>431</v>
      </c>
      <c r="G22" s="3116"/>
      <c r="H22" s="3117"/>
      <c r="J22" s="283"/>
      <c r="K22" s="280"/>
      <c r="L22" s="283"/>
      <c r="M22" s="3141"/>
      <c r="N22" s="3142"/>
      <c r="P22" s="283"/>
      <c r="Q22" s="280"/>
      <c r="S22" s="3116"/>
      <c r="T22" s="3117"/>
      <c r="V22" s="836"/>
      <c r="W22" s="3243"/>
      <c r="X22" s="3244"/>
      <c r="AZ22" s="1655"/>
      <c r="BA22" s="1618">
        <v>22</v>
      </c>
    </row>
    <row r="23" spans="1:53" s="144" customFormat="1" ht="11.25" customHeight="1" thickBot="1">
      <c r="B23" s="144" t="s">
        <v>404</v>
      </c>
      <c r="G23" s="3253"/>
      <c r="H23" s="3254"/>
      <c r="J23" s="283"/>
      <c r="K23" s="280"/>
      <c r="L23" s="283"/>
      <c r="M23" s="3253"/>
      <c r="N23" s="3254"/>
      <c r="P23" s="283"/>
      <c r="Q23" s="280"/>
      <c r="S23" s="3253"/>
      <c r="T23" s="3254"/>
      <c r="V23" s="836"/>
      <c r="W23" s="3247"/>
      <c r="X23" s="3248"/>
      <c r="AZ23" s="1655"/>
      <c r="BA23" s="1618">
        <v>23</v>
      </c>
    </row>
    <row r="24" spans="1:53" s="144" customFormat="1" ht="12.6" customHeight="1" thickTop="1">
      <c r="F24" s="281" t="s">
        <v>184</v>
      </c>
      <c r="G24" s="3249">
        <f>SUM(G20:G23)</f>
        <v>750000</v>
      </c>
      <c r="H24" s="3250"/>
      <c r="J24" s="283"/>
      <c r="K24" s="280"/>
      <c r="L24" s="283"/>
      <c r="M24" s="3249">
        <f>SUM(M22:M23)</f>
        <v>0</v>
      </c>
      <c r="N24" s="3250"/>
      <c r="P24" s="283"/>
      <c r="Q24" s="280"/>
      <c r="S24" s="3249">
        <f>SUM(S20:S23)</f>
        <v>750000</v>
      </c>
      <c r="T24" s="3250"/>
      <c r="V24" s="838">
        <f>SUM(V20:V23)</f>
        <v>0</v>
      </c>
      <c r="W24" s="3251"/>
      <c r="X24" s="3252"/>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591157.89473684214</v>
      </c>
      <c r="G26" s="3141">
        <v>2808000</v>
      </c>
      <c r="H26" s="3142"/>
      <c r="J26" s="3141">
        <v>2808000</v>
      </c>
      <c r="K26" s="3142"/>
      <c r="L26" s="815"/>
      <c r="M26" s="3255"/>
      <c r="N26" s="3256"/>
      <c r="P26" s="3255"/>
      <c r="Q26" s="3256"/>
      <c r="S26" s="3141"/>
      <c r="T26" s="3142"/>
      <c r="V26" s="836"/>
      <c r="W26" s="3243"/>
      <c r="X26" s="3244"/>
      <c r="AZ26" s="1655"/>
      <c r="BA26" s="1618">
        <v>26</v>
      </c>
    </row>
    <row r="27" spans="1:53" s="144" customFormat="1" ht="11.25" customHeight="1" thickBot="1">
      <c r="B27" s="144" t="s">
        <v>1056</v>
      </c>
      <c r="G27" s="3253">
        <v>72000</v>
      </c>
      <c r="H27" s="3254"/>
      <c r="J27" s="3253"/>
      <c r="K27" s="3254"/>
      <c r="L27" s="284"/>
      <c r="M27" s="3257"/>
      <c r="N27" s="3257"/>
      <c r="P27" s="3257"/>
      <c r="Q27" s="3257"/>
      <c r="S27" s="3253">
        <v>72000</v>
      </c>
      <c r="T27" s="3254"/>
      <c r="V27" s="836"/>
      <c r="W27" s="3247"/>
      <c r="X27" s="3248"/>
      <c r="AZ27" s="1655"/>
      <c r="BA27" s="1618">
        <v>27</v>
      </c>
    </row>
    <row r="28" spans="1:53" s="144" customFormat="1" ht="12.6" customHeight="1" thickTop="1">
      <c r="F28" s="281" t="s">
        <v>184</v>
      </c>
      <c r="G28" s="3249">
        <f>SUM(G26:G27)</f>
        <v>2880000</v>
      </c>
      <c r="H28" s="3250"/>
      <c r="J28" s="3249">
        <f>SUM(J26:J27)</f>
        <v>2808000</v>
      </c>
      <c r="K28" s="3250"/>
      <c r="L28" s="283"/>
      <c r="M28" s="3249">
        <f>M26</f>
        <v>0</v>
      </c>
      <c r="N28" s="3250"/>
      <c r="P28" s="3249">
        <f>P26</f>
        <v>0</v>
      </c>
      <c r="Q28" s="3250"/>
      <c r="S28" s="3249">
        <f>SUM(S26:S27)</f>
        <v>72000</v>
      </c>
      <c r="T28" s="3250"/>
      <c r="V28" s="838">
        <f>SUM(V26:V27)</f>
        <v>0</v>
      </c>
      <c r="W28" s="3251"/>
      <c r="X28" s="3252"/>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1">
        <v>10440000</v>
      </c>
      <c r="H30" s="3142"/>
      <c r="J30" s="3141">
        <v>10440000</v>
      </c>
      <c r="K30" s="3142"/>
      <c r="L30" s="815"/>
      <c r="M30" s="3141"/>
      <c r="N30" s="3142"/>
      <c r="P30" s="3141"/>
      <c r="Q30" s="3142"/>
      <c r="S30" s="3141"/>
      <c r="T30" s="3142"/>
      <c r="V30" s="836"/>
      <c r="W30" s="3243"/>
      <c r="X30" s="3244"/>
      <c r="AZ30" s="1655"/>
      <c r="BA30" s="1618">
        <v>30</v>
      </c>
    </row>
    <row r="31" spans="1:53" s="144" customFormat="1" ht="11.25" customHeight="1">
      <c r="B31" s="144" t="s">
        <v>1059</v>
      </c>
      <c r="G31" s="3116"/>
      <c r="H31" s="3117"/>
      <c r="J31" s="3116"/>
      <c r="K31" s="3117"/>
      <c r="L31" s="815"/>
      <c r="M31" s="3116"/>
      <c r="N31" s="3117"/>
      <c r="P31" s="3116"/>
      <c r="Q31" s="3117"/>
      <c r="S31" s="3116"/>
      <c r="T31" s="3117"/>
      <c r="V31" s="836"/>
      <c r="W31" s="3243"/>
      <c r="X31" s="3244"/>
      <c r="AZ31" s="1655"/>
      <c r="BA31" s="1618">
        <v>31</v>
      </c>
    </row>
    <row r="32" spans="1:53" s="144" customFormat="1" ht="11.25" customHeight="1">
      <c r="B32" s="144" t="s">
        <v>3990</v>
      </c>
      <c r="G32" s="3116"/>
      <c r="H32" s="3117"/>
      <c r="J32" s="3116"/>
      <c r="K32" s="3117"/>
      <c r="L32" s="815"/>
      <c r="M32" s="3116"/>
      <c r="N32" s="3117"/>
      <c r="P32" s="3116"/>
      <c r="Q32" s="3117"/>
      <c r="S32" s="3116"/>
      <c r="T32" s="3117"/>
      <c r="V32" s="836"/>
      <c r="W32" s="3243"/>
      <c r="X32" s="3244"/>
      <c r="AZ32" s="1655"/>
      <c r="BA32" s="1618">
        <v>32</v>
      </c>
    </row>
    <row r="33" spans="1:53" s="144" customFormat="1" ht="11.25" customHeight="1">
      <c r="B33" s="144" t="s">
        <v>3988</v>
      </c>
      <c r="G33" s="3116"/>
      <c r="H33" s="3117"/>
      <c r="J33" s="3116"/>
      <c r="K33" s="3117"/>
      <c r="L33" s="815"/>
      <c r="M33" s="3116"/>
      <c r="N33" s="3117"/>
      <c r="P33" s="3116"/>
      <c r="Q33" s="3117"/>
      <c r="S33" s="3116"/>
      <c r="T33" s="3117"/>
      <c r="V33" s="836"/>
      <c r="W33" s="3243"/>
      <c r="X33" s="3244"/>
      <c r="AZ33" s="1655"/>
      <c r="BA33" s="1618">
        <v>33</v>
      </c>
    </row>
    <row r="34" spans="1:53" ht="11.25" customHeight="1">
      <c r="B34" s="144" t="s">
        <v>2487</v>
      </c>
      <c r="G34" s="3116"/>
      <c r="H34" s="3117"/>
      <c r="I34" s="144"/>
      <c r="J34" s="3116"/>
      <c r="K34" s="3117"/>
      <c r="L34" s="815"/>
      <c r="M34" s="3116"/>
      <c r="N34" s="3117"/>
      <c r="O34" s="144"/>
      <c r="P34" s="3116"/>
      <c r="Q34" s="3117"/>
      <c r="R34" s="144"/>
      <c r="S34" s="3116"/>
      <c r="T34" s="3117"/>
      <c r="V34" s="836"/>
      <c r="W34" s="3247"/>
      <c r="X34" s="3248"/>
      <c r="BA34" s="1618">
        <v>34</v>
      </c>
    </row>
    <row r="35" spans="1:53" ht="11.25" customHeight="1" thickBot="1">
      <c r="B35" s="144" t="s">
        <v>3989</v>
      </c>
      <c r="G35" s="3258"/>
      <c r="H35" s="3259"/>
      <c r="I35" s="144"/>
      <c r="J35" s="3258"/>
      <c r="K35" s="3259"/>
      <c r="L35" s="815"/>
      <c r="M35" s="3258"/>
      <c r="N35" s="3259"/>
      <c r="O35" s="144"/>
      <c r="P35" s="3258"/>
      <c r="Q35" s="3259"/>
      <c r="R35" s="144"/>
      <c r="S35" s="3258"/>
      <c r="T35" s="3259"/>
      <c r="V35" s="836"/>
      <c r="W35" s="3247"/>
      <c r="X35" s="3248"/>
      <c r="BA35" s="1618">
        <v>35</v>
      </c>
    </row>
    <row r="36" spans="1:53" s="144" customFormat="1" ht="12.6" customHeight="1" thickTop="1">
      <c r="C36" s="3261"/>
      <c r="D36" s="3261"/>
      <c r="E36" s="816"/>
      <c r="F36" s="281" t="s">
        <v>184</v>
      </c>
      <c r="G36" s="3249">
        <f>SUM(G30:G35)</f>
        <v>10440000</v>
      </c>
      <c r="H36" s="3250"/>
      <c r="J36" s="3249">
        <f>SUM(J30:J35)</f>
        <v>10440000</v>
      </c>
      <c r="K36" s="3250"/>
      <c r="L36" s="815"/>
      <c r="M36" s="3249">
        <f>SUM(M30:M35)</f>
        <v>0</v>
      </c>
      <c r="N36" s="3250"/>
      <c r="P36" s="3249">
        <f>SUM(P30:P35)</f>
        <v>0</v>
      </c>
      <c r="Q36" s="3250"/>
      <c r="S36" s="3249">
        <f>SUM(S30:S35)</f>
        <v>0</v>
      </c>
      <c r="T36" s="3250"/>
      <c r="V36" s="838">
        <f>SUM(V30:V35)</f>
        <v>0</v>
      </c>
      <c r="W36" s="3251"/>
      <c r="X36" s="3252"/>
      <c r="AZ36" s="1655" t="s">
        <v>4269</v>
      </c>
      <c r="BA36" s="1618">
        <v>36</v>
      </c>
    </row>
    <row r="37" spans="1:53" s="144" customFormat="1" ht="12" customHeight="1">
      <c r="B37" s="243" t="s">
        <v>2157</v>
      </c>
      <c r="D37" s="3260" t="s">
        <v>3140</v>
      </c>
      <c r="E37" s="3260"/>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799200</v>
      </c>
      <c r="F38" s="1859">
        <f>IF(($G$28+$G$36)=0,0,G38/($G$28+$G$36))</f>
        <v>0.06</v>
      </c>
      <c r="G38" s="3141">
        <v>799200</v>
      </c>
      <c r="H38" s="3142"/>
      <c r="I38" s="145"/>
      <c r="J38" s="3141">
        <v>794880</v>
      </c>
      <c r="K38" s="3142"/>
      <c r="L38" s="815"/>
      <c r="M38" s="3141"/>
      <c r="N38" s="3142"/>
      <c r="P38" s="3141"/>
      <c r="Q38" s="3142"/>
      <c r="S38" s="3141">
        <v>4320</v>
      </c>
      <c r="T38" s="3142"/>
      <c r="V38" s="836"/>
      <c r="W38" s="3243"/>
      <c r="X38" s="3244"/>
      <c r="AZ38" s="1655"/>
      <c r="BA38" s="1618">
        <v>38</v>
      </c>
    </row>
    <row r="39" spans="1:53" s="144" customFormat="1" ht="11.25" customHeight="1">
      <c r="B39" s="144" t="s">
        <v>2468</v>
      </c>
      <c r="D39" s="1857">
        <f>'DCA Underwriting Assumptions'!$R$53</f>
        <v>0.02</v>
      </c>
      <c r="E39" s="1858">
        <f>ROUNDDOWN(D39*(G28+G36),0)</f>
        <v>266400</v>
      </c>
      <c r="F39" s="1859">
        <f>IF(($G$28+$G$36)=0,0,G39/($G$28+$G$36))</f>
        <v>0.02</v>
      </c>
      <c r="G39" s="3116">
        <v>266400</v>
      </c>
      <c r="H39" s="3117"/>
      <c r="I39" s="145"/>
      <c r="J39" s="3116">
        <v>264960</v>
      </c>
      <c r="K39" s="3117"/>
      <c r="L39" s="815"/>
      <c r="M39" s="3116"/>
      <c r="N39" s="3117"/>
      <c r="P39" s="3116"/>
      <c r="Q39" s="3117"/>
      <c r="S39" s="3116">
        <v>1440</v>
      </c>
      <c r="T39" s="3117"/>
      <c r="V39" s="836"/>
      <c r="W39" s="3243"/>
      <c r="X39" s="3244"/>
      <c r="AZ39" s="1655"/>
      <c r="BA39" s="1618">
        <v>39</v>
      </c>
    </row>
    <row r="40" spans="1:53" s="144" customFormat="1" ht="11.25" customHeight="1" thickBot="1">
      <c r="B40" s="144" t="s">
        <v>2469</v>
      </c>
      <c r="D40" s="1860">
        <f>'DCA Underwriting Assumptions'!$R$54</f>
        <v>0.06</v>
      </c>
      <c r="E40" s="1861">
        <f>ROUNDDOWN(D40*(G28+G36),0)</f>
        <v>799200</v>
      </c>
      <c r="F40" s="1862">
        <f>IF(($G$28+$G$36)=0,0,G40/($G$28+$G$36))</f>
        <v>0.06</v>
      </c>
      <c r="G40" s="3253">
        <v>799200</v>
      </c>
      <c r="H40" s="3254"/>
      <c r="I40" s="145"/>
      <c r="J40" s="3253">
        <v>794880</v>
      </c>
      <c r="K40" s="3254"/>
      <c r="L40" s="815"/>
      <c r="M40" s="3253"/>
      <c r="N40" s="3254"/>
      <c r="P40" s="3253"/>
      <c r="Q40" s="3254"/>
      <c r="S40" s="3253">
        <v>4320</v>
      </c>
      <c r="T40" s="3254"/>
      <c r="V40" s="836"/>
      <c r="W40" s="3247"/>
      <c r="X40" s="3248"/>
      <c r="AZ40" s="1655"/>
      <c r="BA40" s="1618">
        <v>40</v>
      </c>
    </row>
    <row r="41" spans="1:53" s="144" customFormat="1" ht="12.6" customHeight="1" thickTop="1">
      <c r="B41" s="147" t="s">
        <v>3141</v>
      </c>
      <c r="D41" s="748">
        <f>SUM(D38:D40)</f>
        <v>0.14000000000000001</v>
      </c>
      <c r="E41" s="749">
        <f>SUM(E38:E40)</f>
        <v>1864800</v>
      </c>
      <c r="F41" s="1856" t="s">
        <v>184</v>
      </c>
      <c r="G41" s="3249">
        <f>SUM(G38:G40)</f>
        <v>1864800</v>
      </c>
      <c r="H41" s="3250"/>
      <c r="J41" s="3249">
        <f>SUM(J38:J40)</f>
        <v>1854720</v>
      </c>
      <c r="K41" s="3250"/>
      <c r="L41" s="283"/>
      <c r="M41" s="3249">
        <f>SUM(M38:M40)</f>
        <v>0</v>
      </c>
      <c r="N41" s="3250"/>
      <c r="P41" s="3249">
        <f>SUM(P38:P40)</f>
        <v>0</v>
      </c>
      <c r="Q41" s="3250"/>
      <c r="S41" s="3249">
        <f>SUM(S38:S40)</f>
        <v>10080</v>
      </c>
      <c r="T41" s="3250"/>
      <c r="V41" s="838">
        <f>SUM(V38:V40)</f>
        <v>0</v>
      </c>
      <c r="W41" s="3251"/>
      <c r="X41" s="3252"/>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2">
        <f>G28+G36+G41</f>
        <v>15184800</v>
      </c>
      <c r="H43" s="3263"/>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5" t="s">
        <v>4616</v>
      </c>
      <c r="D46" s="3264"/>
      <c r="E46" s="3264"/>
      <c r="F46" s="3265"/>
      <c r="G46" s="3266"/>
      <c r="H46" s="3267"/>
      <c r="I46" s="144"/>
      <c r="J46" s="3266"/>
      <c r="K46" s="3267"/>
      <c r="L46" s="815"/>
      <c r="M46" s="3266"/>
      <c r="N46" s="3267"/>
      <c r="O46" s="144"/>
      <c r="P46" s="3266"/>
      <c r="Q46" s="3267"/>
      <c r="R46" s="144"/>
      <c r="S46" s="3266"/>
      <c r="T46" s="3267"/>
      <c r="V46" s="836"/>
      <c r="W46" s="3268"/>
      <c r="X46" s="3269"/>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70"/>
      <c r="X47" s="3271"/>
      <c r="AZ47" s="1655" t="s">
        <v>4272</v>
      </c>
      <c r="BA47" s="1618">
        <v>47</v>
      </c>
    </row>
    <row r="48" spans="1:53" s="144" customFormat="1" ht="12.6" customHeight="1">
      <c r="B48" s="1577" t="s">
        <v>2472</v>
      </c>
      <c r="C48" s="1578"/>
      <c r="E48" s="3274" t="s">
        <v>2471</v>
      </c>
      <c r="F48" s="1579">
        <f>C49/'Part V-Revenues &amp; Expenses'!$P$65</f>
        <v>210900</v>
      </c>
      <c r="G48" s="1580" t="s">
        <v>2485</v>
      </c>
      <c r="H48" s="1581"/>
      <c r="I48" s="1581"/>
      <c r="J48" s="3276">
        <f>C49/'Part V-Revenues &amp; Expenses'!$P$67</f>
        <v>210900</v>
      </c>
      <c r="K48" s="3276"/>
      <c r="L48" s="1581"/>
      <c r="M48" s="3277" t="s">
        <v>4373</v>
      </c>
      <c r="N48" s="3277"/>
      <c r="O48" s="1581"/>
      <c r="P48" s="3276">
        <f>C49/'Part V-Revenues &amp; Expenses'!$K$179</f>
        <v>176.35514018691586</v>
      </c>
      <c r="Q48" s="3276"/>
      <c r="R48" s="1581"/>
      <c r="S48" s="3278" t="s">
        <v>4375</v>
      </c>
      <c r="T48" s="3279"/>
      <c r="V48" s="839"/>
      <c r="W48" s="3270"/>
      <c r="X48" s="3271"/>
      <c r="AZ48" s="1655"/>
      <c r="BA48" s="1618">
        <v>48</v>
      </c>
    </row>
    <row r="49" spans="1:53" s="144" customFormat="1" ht="12.6" customHeight="1">
      <c r="B49" s="1626" t="s">
        <v>4386</v>
      </c>
      <c r="C49" s="1625">
        <f>G28+G36+G41+G46</f>
        <v>15184800</v>
      </c>
      <c r="E49" s="3275"/>
      <c r="F49" s="1582">
        <f>C49/'Part V-Revenues &amp; Expenses'!$P$170</f>
        <v>207.47663551401868</v>
      </c>
      <c r="G49" s="1583" t="s">
        <v>2486</v>
      </c>
      <c r="H49" s="1584"/>
      <c r="I49" s="1584"/>
      <c r="J49" s="3280">
        <f>C49/'Part V-Revenues &amp; Expenses'!$P$172</f>
        <v>207.47663551401868</v>
      </c>
      <c r="K49" s="3280"/>
      <c r="L49" s="1584"/>
      <c r="M49" s="3281" t="s">
        <v>4374</v>
      </c>
      <c r="N49" s="3281"/>
      <c r="O49" s="1584"/>
      <c r="P49" s="1584"/>
      <c r="Q49" s="1584"/>
      <c r="R49" s="1584"/>
      <c r="S49" s="1584"/>
      <c r="T49" s="1585"/>
      <c r="V49" s="839"/>
      <c r="W49" s="3272"/>
      <c r="X49" s="3273"/>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3" t="s">
        <v>259</v>
      </c>
      <c r="K51" s="3234"/>
      <c r="L51" s="280"/>
      <c r="M51" s="3237" t="s">
        <v>459</v>
      </c>
      <c r="N51" s="3238"/>
      <c r="P51" s="3233" t="s">
        <v>260</v>
      </c>
      <c r="Q51" s="3234"/>
      <c r="S51" s="3233" t="s">
        <v>261</v>
      </c>
      <c r="T51" s="3234"/>
      <c r="V51" s="839"/>
      <c r="W51" s="343" t="str">
        <f>B51</f>
        <v>DEVELOPMENT BUDGET (cont'd)</v>
      </c>
      <c r="AZ51" s="1655"/>
      <c r="BA51" s="1618">
        <v>58</v>
      </c>
    </row>
    <row r="52" spans="1:53" s="144" customFormat="1" ht="18.75" customHeight="1" thickBot="1">
      <c r="G52" s="3241" t="s">
        <v>95</v>
      </c>
      <c r="H52" s="3242"/>
      <c r="J52" s="3235"/>
      <c r="K52" s="3236"/>
      <c r="L52" s="280"/>
      <c r="M52" s="3239"/>
      <c r="N52" s="3240"/>
      <c r="P52" s="3235"/>
      <c r="Q52" s="3236"/>
      <c r="S52" s="3235"/>
      <c r="T52" s="3236"/>
      <c r="V52" s="839"/>
      <c r="W52" s="3282" t="s">
        <v>2441</v>
      </c>
      <c r="X52" s="3282"/>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759240</v>
      </c>
      <c r="F55" s="1666">
        <f>G55/C49</f>
        <v>0.05</v>
      </c>
      <c r="G55" s="3266">
        <v>759240</v>
      </c>
      <c r="H55" s="3267"/>
      <c r="I55" s="144"/>
      <c r="J55" s="3266">
        <v>755136</v>
      </c>
      <c r="K55" s="3267"/>
      <c r="L55" s="815"/>
      <c r="M55" s="3266"/>
      <c r="N55" s="3267"/>
      <c r="O55" s="144"/>
      <c r="P55" s="3266"/>
      <c r="Q55" s="3267"/>
      <c r="R55" s="144"/>
      <c r="S55" s="3266">
        <v>4104</v>
      </c>
      <c r="T55" s="3267"/>
      <c r="V55" s="836"/>
      <c r="W55" s="3243"/>
      <c r="X55" s="3244"/>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8"/>
      <c r="X56" s="3269"/>
      <c r="AZ56" s="1655"/>
      <c r="BA56" s="1618">
        <v>53</v>
      </c>
    </row>
    <row r="57" spans="1:53" s="144" customFormat="1" ht="12.6" customHeight="1">
      <c r="B57" s="1586" t="s">
        <v>4195</v>
      </c>
      <c r="C57" s="1578"/>
      <c r="E57" s="3285" t="s">
        <v>4196</v>
      </c>
      <c r="F57" s="1579">
        <f>B58/'Part V-Revenues &amp; Expenses'!$P$65</f>
        <v>221445</v>
      </c>
      <c r="G57" s="1580" t="s">
        <v>2485</v>
      </c>
      <c r="H57" s="1581"/>
      <c r="I57" s="1581"/>
      <c r="J57" s="3276">
        <f>B58/'Part V-Revenues &amp; Expenses'!$P$67</f>
        <v>221445</v>
      </c>
      <c r="K57" s="3276"/>
      <c r="L57" s="1581"/>
      <c r="M57" s="3277" t="s">
        <v>4373</v>
      </c>
      <c r="N57" s="3277"/>
      <c r="O57" s="1581"/>
      <c r="P57" s="3276">
        <f>B58/'Part V-Revenues &amp; Expenses'!$K$179</f>
        <v>185.17289719626166</v>
      </c>
      <c r="Q57" s="3276"/>
      <c r="R57" s="1581"/>
      <c r="S57" s="3278" t="s">
        <v>4375</v>
      </c>
      <c r="T57" s="3279"/>
      <c r="V57" s="839"/>
      <c r="W57" s="3270"/>
      <c r="X57" s="3271"/>
      <c r="AZ57" s="1655"/>
      <c r="BA57" s="1618">
        <v>54</v>
      </c>
    </row>
    <row r="58" spans="1:53" s="144" customFormat="1" ht="12.6" customHeight="1">
      <c r="B58" s="3283">
        <f>C49+G55</f>
        <v>15944040</v>
      </c>
      <c r="C58" s="3284"/>
      <c r="E58" s="3286"/>
      <c r="F58" s="1582">
        <f>B58/'Part V-Revenues &amp; Expenses'!$P$170</f>
        <v>217.85046728971963</v>
      </c>
      <c r="G58" s="1583" t="s">
        <v>2486</v>
      </c>
      <c r="H58" s="1584"/>
      <c r="I58" s="1584"/>
      <c r="J58" s="3280">
        <f>B58/'Part V-Revenues &amp; Expenses'!$P$172</f>
        <v>217.85046728971963</v>
      </c>
      <c r="K58" s="3280"/>
      <c r="L58" s="1584"/>
      <c r="M58" s="3281" t="s">
        <v>4374</v>
      </c>
      <c r="N58" s="3281"/>
      <c r="O58" s="1584"/>
      <c r="P58" s="1584"/>
      <c r="Q58" s="1584"/>
      <c r="R58" s="1584"/>
      <c r="S58" s="1584"/>
      <c r="T58" s="1585"/>
      <c r="V58" s="839"/>
      <c r="W58" s="3270"/>
      <c r="X58" s="3271"/>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2"/>
      <c r="X59" s="3273"/>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1"/>
      <c r="H61" s="3142"/>
      <c r="J61" s="3141"/>
      <c r="K61" s="3142"/>
      <c r="L61" s="815"/>
      <c r="M61" s="3141"/>
      <c r="N61" s="3142"/>
      <c r="P61" s="3141"/>
      <c r="Q61" s="3142"/>
      <c r="S61" s="3141"/>
      <c r="T61" s="3142"/>
      <c r="V61" s="840"/>
      <c r="W61" s="3243"/>
      <c r="X61" s="3244"/>
      <c r="AZ61" s="1655"/>
      <c r="BA61" s="1618">
        <v>61</v>
      </c>
    </row>
    <row r="62" spans="1:53" s="144" customFormat="1" ht="12" customHeight="1">
      <c r="B62" s="144" t="s">
        <v>3143</v>
      </c>
      <c r="G62" s="3116"/>
      <c r="H62" s="3117"/>
      <c r="J62" s="3116"/>
      <c r="K62" s="3117"/>
      <c r="L62" s="815"/>
      <c r="M62" s="3116"/>
      <c r="N62" s="3117"/>
      <c r="P62" s="3116"/>
      <c r="Q62" s="3117"/>
      <c r="S62" s="3116"/>
      <c r="T62" s="3117"/>
      <c r="V62" s="840"/>
      <c r="W62" s="3243"/>
      <c r="X62" s="3244"/>
      <c r="AZ62" s="1655"/>
      <c r="BA62" s="1618">
        <v>62</v>
      </c>
    </row>
    <row r="63" spans="1:53" s="144" customFormat="1" ht="12" customHeight="1">
      <c r="B63" s="144" t="s">
        <v>2160</v>
      </c>
      <c r="G63" s="3116">
        <v>223300</v>
      </c>
      <c r="H63" s="3117"/>
      <c r="J63" s="3116">
        <v>223300</v>
      </c>
      <c r="K63" s="3117"/>
      <c r="L63" s="815"/>
      <c r="M63" s="3116"/>
      <c r="N63" s="3117"/>
      <c r="P63" s="3116"/>
      <c r="Q63" s="3117"/>
      <c r="S63" s="3116"/>
      <c r="T63" s="3117"/>
      <c r="V63" s="840"/>
      <c r="W63" s="3243"/>
      <c r="X63" s="3244"/>
      <c r="AZ63" s="1655"/>
      <c r="BA63" s="1618">
        <v>63</v>
      </c>
    </row>
    <row r="64" spans="1:53" s="144" customFormat="1" ht="12" customHeight="1">
      <c r="B64" s="144" t="s">
        <v>2161</v>
      </c>
      <c r="G64" s="3116">
        <v>1628157.9310467318</v>
      </c>
      <c r="H64" s="3117"/>
      <c r="J64" s="3116">
        <v>1074498.883558159</v>
      </c>
      <c r="K64" s="3117"/>
      <c r="L64" s="815"/>
      <c r="M64" s="3116"/>
      <c r="N64" s="3117"/>
      <c r="P64" s="3116"/>
      <c r="Q64" s="3117"/>
      <c r="S64" s="3116">
        <v>553659.04748857277</v>
      </c>
      <c r="T64" s="3117"/>
      <c r="V64" s="840"/>
      <c r="W64" s="3243"/>
      <c r="X64" s="3244"/>
      <c r="AZ64" s="1655"/>
      <c r="BA64" s="1618">
        <v>64</v>
      </c>
    </row>
    <row r="65" spans="1:53" s="144" customFormat="1" ht="12" customHeight="1">
      <c r="B65" s="144" t="s">
        <v>2162</v>
      </c>
      <c r="G65" s="3116"/>
      <c r="H65" s="3117"/>
      <c r="J65" s="3116"/>
      <c r="K65" s="3117"/>
      <c r="L65" s="815"/>
      <c r="M65" s="3116"/>
      <c r="N65" s="3117"/>
      <c r="P65" s="3116"/>
      <c r="Q65" s="3117"/>
      <c r="S65" s="3116"/>
      <c r="T65" s="3117"/>
      <c r="V65" s="840"/>
      <c r="W65" s="3243"/>
      <c r="X65" s="3244"/>
      <c r="AZ65" s="1655" t="s">
        <v>4273</v>
      </c>
      <c r="BA65" s="1618">
        <v>65</v>
      </c>
    </row>
    <row r="66" spans="1:53" s="144" customFormat="1" ht="12" customHeight="1">
      <c r="B66" s="144" t="s">
        <v>2443</v>
      </c>
      <c r="G66" s="3116">
        <v>36000</v>
      </c>
      <c r="H66" s="3117"/>
      <c r="J66" s="3116">
        <v>36000</v>
      </c>
      <c r="K66" s="3117"/>
      <c r="L66" s="815"/>
      <c r="M66" s="3116"/>
      <c r="N66" s="3117"/>
      <c r="P66" s="3116"/>
      <c r="Q66" s="3117"/>
      <c r="S66" s="3116"/>
      <c r="T66" s="3117"/>
      <c r="V66" s="840"/>
      <c r="W66" s="3243"/>
      <c r="X66" s="3244"/>
      <c r="AZ66" s="1655" t="s">
        <v>4274</v>
      </c>
      <c r="BA66" s="1618">
        <v>66</v>
      </c>
    </row>
    <row r="67" spans="1:53" s="144" customFormat="1" ht="12" customHeight="1">
      <c r="B67" s="144" t="s">
        <v>675</v>
      </c>
      <c r="G67" s="3116">
        <v>10000</v>
      </c>
      <c r="H67" s="3117"/>
      <c r="J67" s="3116">
        <v>10000</v>
      </c>
      <c r="K67" s="3117"/>
      <c r="L67" s="815"/>
      <c r="M67" s="3116"/>
      <c r="N67" s="3117"/>
      <c r="P67" s="3116"/>
      <c r="Q67" s="3117"/>
      <c r="S67" s="3116"/>
      <c r="T67" s="3117"/>
      <c r="V67" s="840"/>
      <c r="W67" s="3243"/>
      <c r="X67" s="3244"/>
      <c r="AZ67" s="1655" t="s">
        <v>4275</v>
      </c>
      <c r="BA67" s="1618">
        <v>67</v>
      </c>
    </row>
    <row r="68" spans="1:53" s="144" customFormat="1" ht="12" customHeight="1">
      <c r="B68" s="144" t="s">
        <v>2163</v>
      </c>
      <c r="G68" s="3116"/>
      <c r="H68" s="3117"/>
      <c r="J68" s="3116"/>
      <c r="K68" s="3117"/>
      <c r="L68" s="815"/>
      <c r="M68" s="3116"/>
      <c r="N68" s="3117"/>
      <c r="P68" s="3116"/>
      <c r="Q68" s="3117"/>
      <c r="S68" s="3116"/>
      <c r="T68" s="3117"/>
      <c r="V68" s="840"/>
      <c r="W68" s="3243"/>
      <c r="X68" s="3244"/>
      <c r="AZ68" s="1655"/>
      <c r="BA68" s="1618">
        <v>68</v>
      </c>
    </row>
    <row r="69" spans="1:53" s="144" customFormat="1" ht="12" customHeight="1">
      <c r="B69" s="144" t="s">
        <v>1198</v>
      </c>
      <c r="G69" s="3116">
        <v>56000</v>
      </c>
      <c r="H69" s="3117"/>
      <c r="J69" s="3116">
        <v>46000</v>
      </c>
      <c r="K69" s="3117"/>
      <c r="L69" s="815"/>
      <c r="M69" s="3116"/>
      <c r="N69" s="3117"/>
      <c r="P69" s="3116"/>
      <c r="Q69" s="3117"/>
      <c r="S69" s="3116">
        <v>10000</v>
      </c>
      <c r="T69" s="3117"/>
      <c r="V69" s="840"/>
      <c r="W69" s="3243"/>
      <c r="X69" s="3244"/>
      <c r="AZ69" s="1655"/>
      <c r="BA69" s="1618">
        <v>69</v>
      </c>
    </row>
    <row r="70" spans="1:53" s="144" customFormat="1" ht="12" customHeight="1">
      <c r="B70" s="287" t="s">
        <v>1084</v>
      </c>
      <c r="D70" s="285"/>
      <c r="E70" s="285"/>
      <c r="F70" s="286"/>
      <c r="G70" s="3116"/>
      <c r="H70" s="3117"/>
      <c r="I70" s="145"/>
      <c r="J70" s="3116"/>
      <c r="K70" s="3117"/>
      <c r="L70" s="815"/>
      <c r="M70" s="3116"/>
      <c r="N70" s="3117"/>
      <c r="P70" s="3116"/>
      <c r="Q70" s="3117"/>
      <c r="S70" s="3116"/>
      <c r="T70" s="3117"/>
      <c r="V70" s="840"/>
      <c r="W70" s="3243"/>
      <c r="X70" s="3244"/>
      <c r="AZ70" s="1655"/>
      <c r="BA70" s="1618">
        <v>70</v>
      </c>
    </row>
    <row r="71" spans="1:53" s="144" customFormat="1" ht="12" customHeight="1">
      <c r="A71" s="303" t="str">
        <f>IF(AND(G71&gt;0,OR(C71="",C71="&lt;Enter detailed description here; use Comments section if needed&gt;")),"X","")</f>
        <v/>
      </c>
      <c r="B71" s="147" t="s">
        <v>4174</v>
      </c>
      <c r="C71" s="3289" t="s">
        <v>4616</v>
      </c>
      <c r="D71" s="3289"/>
      <c r="E71" s="3289"/>
      <c r="F71" s="3290"/>
      <c r="G71" s="3116"/>
      <c r="H71" s="3117"/>
      <c r="J71" s="3116"/>
      <c r="K71" s="3117"/>
      <c r="L71" s="815"/>
      <c r="M71" s="3116"/>
      <c r="N71" s="3117"/>
      <c r="P71" s="3116"/>
      <c r="Q71" s="3117"/>
      <c r="S71" s="3116"/>
      <c r="T71" s="3117"/>
      <c r="U71" s="302" t="str">
        <f>IF(AND(G71&gt;0,OR(C71="",C71="&lt;Enter detailed description here; use Comments section if needed&gt;")),"NO DESCRIPTION PROVIDED - please enter detailed description in Other box at left; use Comments section below if needed.","")</f>
        <v/>
      </c>
      <c r="V71" s="840"/>
      <c r="W71" s="3243"/>
      <c r="X71" s="3244"/>
      <c r="AZ71" s="1655"/>
      <c r="BA71" s="1618">
        <v>71</v>
      </c>
    </row>
    <row r="72" spans="1:53" s="144" customFormat="1" ht="12" customHeight="1" thickBot="1">
      <c r="A72" s="303" t="str">
        <f>IF(AND(G72&gt;0,OR(C72="",C72="&lt;Enter detailed description here; use Comments section if needed&gt;")),"X","")</f>
        <v/>
      </c>
      <c r="B72" s="147" t="s">
        <v>4175</v>
      </c>
      <c r="C72" s="3287" t="s">
        <v>4616</v>
      </c>
      <c r="D72" s="3287"/>
      <c r="E72" s="3287"/>
      <c r="F72" s="3288"/>
      <c r="G72" s="3130"/>
      <c r="H72" s="3131"/>
      <c r="J72" s="3130"/>
      <c r="K72" s="3131"/>
      <c r="L72" s="815"/>
      <c r="M72" s="3130"/>
      <c r="N72" s="3131"/>
      <c r="P72" s="3130"/>
      <c r="Q72" s="3131"/>
      <c r="S72" s="3130"/>
      <c r="T72" s="3131"/>
      <c r="U72" s="302" t="str">
        <f>IF(AND(G72&gt;0,OR(C72="",C72="&lt;Enter detailed description here; use Comments section if needed&gt;")),"NO DESCRIPTION PROVIDED - please enter detailed description in Other box at left; use Comments section below if needed.","")</f>
        <v/>
      </c>
      <c r="V72" s="840"/>
      <c r="W72" s="3247"/>
      <c r="X72" s="3248"/>
      <c r="AZ72" s="1655"/>
      <c r="BA72" s="1618">
        <v>72</v>
      </c>
    </row>
    <row r="73" spans="1:53" s="144" customFormat="1" ht="12" customHeight="1" thickTop="1">
      <c r="F73" s="281" t="s">
        <v>184</v>
      </c>
      <c r="G73" s="3249">
        <f>SUM(G61:G72)</f>
        <v>1953457.9310467318</v>
      </c>
      <c r="H73" s="3250"/>
      <c r="J73" s="3249">
        <f>SUM(J61:J72)</f>
        <v>1389798.883558159</v>
      </c>
      <c r="K73" s="3250"/>
      <c r="L73" s="283"/>
      <c r="M73" s="3249">
        <f>SUM(M61:M72)</f>
        <v>0</v>
      </c>
      <c r="N73" s="3250"/>
      <c r="P73" s="3249">
        <f>SUM(P61:P72)</f>
        <v>0</v>
      </c>
      <c r="Q73" s="3250"/>
      <c r="S73" s="3249">
        <f>SUM(S61:S72)</f>
        <v>563659.04748857277</v>
      </c>
      <c r="T73" s="3250"/>
      <c r="V73" s="841">
        <f>SUM(V61:V72)</f>
        <v>0</v>
      </c>
      <c r="W73" s="3251"/>
      <c r="X73" s="3252"/>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1">
        <v>288000</v>
      </c>
      <c r="H75" s="3142"/>
      <c r="J75" s="3141">
        <v>288000</v>
      </c>
      <c r="K75" s="3142"/>
      <c r="L75" s="815"/>
      <c r="M75" s="3141"/>
      <c r="N75" s="3142"/>
      <c r="P75" s="3141"/>
      <c r="Q75" s="3142"/>
      <c r="S75" s="3141"/>
      <c r="T75" s="3142"/>
      <c r="V75" s="836"/>
      <c r="W75" s="3243"/>
      <c r="X75" s="3244"/>
      <c r="AZ75" s="1655"/>
      <c r="BA75" s="1618">
        <v>75</v>
      </c>
    </row>
    <row r="76" spans="1:53" s="144" customFormat="1" ht="12" customHeight="1">
      <c r="B76" s="144" t="s">
        <v>450</v>
      </c>
      <c r="G76" s="3116">
        <v>126000</v>
      </c>
      <c r="H76" s="3117"/>
      <c r="J76" s="3116">
        <v>126000</v>
      </c>
      <c r="K76" s="3117"/>
      <c r="L76" s="815"/>
      <c r="M76" s="3116"/>
      <c r="N76" s="3117"/>
      <c r="P76" s="3116"/>
      <c r="Q76" s="3117"/>
      <c r="S76" s="3116"/>
      <c r="T76" s="3117"/>
      <c r="V76" s="836"/>
      <c r="W76" s="3243"/>
      <c r="X76" s="3244"/>
      <c r="AZ76" s="1655"/>
      <c r="BA76" s="1618">
        <v>76</v>
      </c>
    </row>
    <row r="77" spans="1:53" s="144" customFormat="1" ht="12" customHeight="1">
      <c r="B77" s="144" t="s">
        <v>1060</v>
      </c>
      <c r="D77" s="247"/>
      <c r="E77" s="831"/>
      <c r="F77" s="392"/>
      <c r="G77" s="3116">
        <v>20000</v>
      </c>
      <c r="H77" s="3117"/>
      <c r="J77" s="3116">
        <v>20000</v>
      </c>
      <c r="K77" s="3117"/>
      <c r="L77" s="815"/>
      <c r="M77" s="3116"/>
      <c r="N77" s="3117"/>
      <c r="P77" s="3116"/>
      <c r="Q77" s="3117"/>
      <c r="S77" s="3116"/>
      <c r="T77" s="3117"/>
      <c r="V77" s="836"/>
      <c r="W77" s="3243"/>
      <c r="X77" s="3244"/>
      <c r="AZ77" s="1655"/>
      <c r="BA77" s="1618">
        <v>77</v>
      </c>
    </row>
    <row r="78" spans="1:53" s="144" customFormat="1" ht="12" customHeight="1">
      <c r="B78" s="144" t="s">
        <v>1061</v>
      </c>
      <c r="G78" s="3116">
        <v>2940</v>
      </c>
      <c r="H78" s="3117"/>
      <c r="J78" s="3116">
        <v>2940</v>
      </c>
      <c r="K78" s="3117"/>
      <c r="L78" s="815"/>
      <c r="M78" s="3116"/>
      <c r="N78" s="3117"/>
      <c r="P78" s="3116"/>
      <c r="Q78" s="3117"/>
      <c r="S78" s="3116"/>
      <c r="T78" s="3117"/>
      <c r="V78" s="836"/>
      <c r="W78" s="3243"/>
      <c r="X78" s="3244"/>
      <c r="AZ78" s="1655"/>
      <c r="BA78" s="1618">
        <v>78</v>
      </c>
    </row>
    <row r="79" spans="1:53" s="144" customFormat="1" ht="12" customHeight="1">
      <c r="B79" s="144" t="s">
        <v>1062</v>
      </c>
      <c r="G79" s="3116">
        <v>12400</v>
      </c>
      <c r="H79" s="3117"/>
      <c r="J79" s="3116">
        <v>12400</v>
      </c>
      <c r="K79" s="3117"/>
      <c r="L79" s="815"/>
      <c r="M79" s="3116"/>
      <c r="N79" s="3117"/>
      <c r="P79" s="3116"/>
      <c r="Q79" s="3117"/>
      <c r="S79" s="3116"/>
      <c r="T79" s="3117"/>
      <c r="V79" s="836"/>
      <c r="W79" s="3243"/>
      <c r="X79" s="3244"/>
      <c r="AZ79" s="1655" t="s">
        <v>4276</v>
      </c>
      <c r="BA79" s="1618">
        <v>79</v>
      </c>
    </row>
    <row r="80" spans="1:53" s="144" customFormat="1" ht="12" customHeight="1">
      <c r="B80" s="144" t="s">
        <v>1063</v>
      </c>
      <c r="G80" s="3116"/>
      <c r="H80" s="3117"/>
      <c r="J80" s="3116"/>
      <c r="K80" s="3117"/>
      <c r="L80" s="815"/>
      <c r="M80" s="3116"/>
      <c r="N80" s="3117"/>
      <c r="P80" s="3116"/>
      <c r="Q80" s="3117"/>
      <c r="S80" s="3116"/>
      <c r="T80" s="3117"/>
      <c r="V80" s="836"/>
      <c r="W80" s="3243"/>
      <c r="X80" s="3244"/>
      <c r="AZ80" s="1655" t="s">
        <v>4277</v>
      </c>
      <c r="BA80" s="1618">
        <v>80</v>
      </c>
    </row>
    <row r="81" spans="1:53" s="144" customFormat="1" ht="12" customHeight="1">
      <c r="B81" s="144" t="s">
        <v>451</v>
      </c>
      <c r="G81" s="3116">
        <f>80500+25000</f>
        <v>105500</v>
      </c>
      <c r="H81" s="3117"/>
      <c r="J81" s="3116">
        <f>G81</f>
        <v>105500</v>
      </c>
      <c r="K81" s="3117"/>
      <c r="L81" s="815"/>
      <c r="M81" s="3116"/>
      <c r="N81" s="3117"/>
      <c r="P81" s="3116"/>
      <c r="Q81" s="3117"/>
      <c r="S81" s="3116"/>
      <c r="T81" s="3117"/>
      <c r="V81" s="836"/>
      <c r="W81" s="3243"/>
      <c r="X81" s="3244"/>
      <c r="AZ81" s="1651"/>
      <c r="BA81" s="1618">
        <v>81</v>
      </c>
    </row>
    <row r="82" spans="1:53" s="144" customFormat="1" ht="12" customHeight="1">
      <c r="B82" s="144" t="s">
        <v>452</v>
      </c>
      <c r="G82" s="3116">
        <f>55000+97000</f>
        <v>152000</v>
      </c>
      <c r="H82" s="3117"/>
      <c r="J82" s="3116">
        <v>0</v>
      </c>
      <c r="K82" s="3117"/>
      <c r="L82" s="815"/>
      <c r="M82" s="3116"/>
      <c r="N82" s="3117"/>
      <c r="P82" s="3116"/>
      <c r="Q82" s="3117"/>
      <c r="S82" s="3116">
        <f>G82</f>
        <v>152000</v>
      </c>
      <c r="T82" s="3117"/>
      <c r="V82" s="836"/>
      <c r="W82" s="3243"/>
      <c r="X82" s="3244"/>
      <c r="AZ82" s="1655"/>
      <c r="BA82" s="1618">
        <v>82</v>
      </c>
    </row>
    <row r="83" spans="1:53" s="144" customFormat="1" ht="12" customHeight="1">
      <c r="B83" s="144" t="s">
        <v>1894</v>
      </c>
      <c r="G83" s="3116">
        <v>22500</v>
      </c>
      <c r="H83" s="3117"/>
      <c r="J83" s="3116">
        <v>22500</v>
      </c>
      <c r="K83" s="3117"/>
      <c r="L83" s="815"/>
      <c r="M83" s="3116"/>
      <c r="N83" s="3117"/>
      <c r="P83" s="3116"/>
      <c r="Q83" s="3117"/>
      <c r="S83" s="3116"/>
      <c r="T83" s="3117"/>
      <c r="V83" s="836"/>
      <c r="W83" s="3243"/>
      <c r="X83" s="3244"/>
      <c r="AZ83" s="1655"/>
      <c r="BA83" s="1618">
        <v>83</v>
      </c>
    </row>
    <row r="84" spans="1:53" s="144" customFormat="1" ht="12" customHeight="1">
      <c r="B84" s="144" t="s">
        <v>1199</v>
      </c>
      <c r="G84" s="3116">
        <v>20000</v>
      </c>
      <c r="H84" s="3117"/>
      <c r="J84" s="3116">
        <v>20000</v>
      </c>
      <c r="K84" s="3117"/>
      <c r="L84" s="815"/>
      <c r="M84" s="3116"/>
      <c r="N84" s="3117"/>
      <c r="P84" s="3116"/>
      <c r="Q84" s="3117"/>
      <c r="S84" s="3116"/>
      <c r="T84" s="3117"/>
      <c r="V84" s="836"/>
      <c r="W84" s="3243"/>
      <c r="X84" s="3244"/>
      <c r="AZ84" s="1655"/>
      <c r="BA84" s="1618">
        <v>84</v>
      </c>
    </row>
    <row r="85" spans="1:53" s="144" customFormat="1" ht="12" customHeight="1" thickBot="1">
      <c r="A85" s="303" t="str">
        <f>IF(AND(G85&gt;0,OR(C85="",C85="&lt;Enter detailed description here; use Comments section if needed&gt;")),"X","")</f>
        <v/>
      </c>
      <c r="B85" s="147" t="s">
        <v>4176</v>
      </c>
      <c r="C85" s="3245" t="s">
        <v>5143</v>
      </c>
      <c r="D85" s="3245"/>
      <c r="E85" s="3245"/>
      <c r="F85" s="3246"/>
      <c r="G85" s="3130">
        <f>10000</f>
        <v>10000</v>
      </c>
      <c r="H85" s="3131"/>
      <c r="J85" s="3130">
        <f>G85</f>
        <v>10000</v>
      </c>
      <c r="K85" s="3131"/>
      <c r="L85" s="815"/>
      <c r="M85" s="3130"/>
      <c r="N85" s="3131"/>
      <c r="P85" s="3130"/>
      <c r="Q85" s="3131"/>
      <c r="S85" s="3130"/>
      <c r="T85" s="3131"/>
      <c r="U85" s="302" t="str">
        <f>IF(AND(G85&gt;0,OR(C85="",C85="&lt;Enter detailed description here; use Comments section if needed&gt;")),"NO DESCRIPTION PROVIDED - please enter detailed description in Other box at left; use Comments section below if needed.","")</f>
        <v/>
      </c>
      <c r="V85" s="836"/>
      <c r="W85" s="3247"/>
      <c r="X85" s="3248"/>
      <c r="AZ85" s="1655"/>
      <c r="BA85" s="1618">
        <v>85</v>
      </c>
    </row>
    <row r="86" spans="1:53" s="144" customFormat="1" ht="12" customHeight="1" thickTop="1">
      <c r="F86" s="281" t="s">
        <v>184</v>
      </c>
      <c r="G86" s="3249">
        <f>SUM(G75:G85)</f>
        <v>759340</v>
      </c>
      <c r="H86" s="3250"/>
      <c r="J86" s="3249">
        <f>SUM(J75:J85)</f>
        <v>607340</v>
      </c>
      <c r="K86" s="3250"/>
      <c r="L86" s="283"/>
      <c r="M86" s="3249">
        <f>SUM(M75:M85)</f>
        <v>0</v>
      </c>
      <c r="N86" s="3250"/>
      <c r="P86" s="3249">
        <f>SUM(P75:P85)</f>
        <v>0</v>
      </c>
      <c r="Q86" s="3250"/>
      <c r="S86" s="3249">
        <f>SUM(S75:S85)</f>
        <v>152000</v>
      </c>
      <c r="T86" s="3250"/>
      <c r="V86" s="838">
        <f>SUM(V75:V85)</f>
        <v>0</v>
      </c>
      <c r="W86" s="3251"/>
      <c r="X86" s="3252"/>
      <c r="AZ86" s="1655" t="s">
        <v>4278</v>
      </c>
      <c r="BA86" s="1618">
        <v>86</v>
      </c>
    </row>
    <row r="87" spans="1:53" ht="12" customHeight="1">
      <c r="A87" s="144"/>
      <c r="B87" s="243" t="s">
        <v>1191</v>
      </c>
      <c r="C87" s="144"/>
      <c r="D87" s="678" t="s">
        <v>3145</v>
      </c>
      <c r="E87" s="750">
        <f>G92/'Part V-Revenues &amp; Expenses'!$P$67</f>
        <v>2507.0972222222222</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1">
        <v>108511</v>
      </c>
      <c r="H88" s="3142"/>
      <c r="J88" s="3141">
        <v>108511</v>
      </c>
      <c r="K88" s="3142"/>
      <c r="L88" s="815"/>
      <c r="M88" s="3141"/>
      <c r="N88" s="3142"/>
      <c r="P88" s="3141"/>
      <c r="Q88" s="3142"/>
      <c r="S88" s="3141"/>
      <c r="T88" s="3142"/>
      <c r="V88" s="836"/>
      <c r="W88" s="3243"/>
      <c r="X88" s="3244"/>
      <c r="AZ88" s="1655"/>
      <c r="BA88" s="1618">
        <v>88</v>
      </c>
    </row>
    <row r="89" spans="1:53" s="144" customFormat="1" ht="12" customHeight="1">
      <c r="B89" s="144" t="s">
        <v>1193</v>
      </c>
      <c r="G89" s="3116"/>
      <c r="H89" s="3117"/>
      <c r="J89" s="3116"/>
      <c r="K89" s="3117"/>
      <c r="L89" s="815"/>
      <c r="M89" s="3116"/>
      <c r="N89" s="3117"/>
      <c r="P89" s="3116"/>
      <c r="Q89" s="3117"/>
      <c r="S89" s="3116"/>
      <c r="T89" s="3117"/>
      <c r="V89" s="836"/>
      <c r="W89" s="3243"/>
      <c r="X89" s="3244"/>
      <c r="AZ89" s="1655"/>
      <c r="BA89" s="1618">
        <v>89</v>
      </c>
    </row>
    <row r="90" spans="1:53" s="144" customFormat="1" ht="12" customHeight="1">
      <c r="B90" s="144" t="s">
        <v>1194</v>
      </c>
      <c r="D90" s="289" t="s">
        <v>1322</v>
      </c>
      <c r="E90" s="850"/>
      <c r="G90" s="3116">
        <v>50000</v>
      </c>
      <c r="H90" s="3117"/>
      <c r="I90" s="145"/>
      <c r="J90" s="3116">
        <v>50000</v>
      </c>
      <c r="K90" s="3117"/>
      <c r="L90" s="815"/>
      <c r="M90" s="3116"/>
      <c r="N90" s="3117"/>
      <c r="P90" s="3116"/>
      <c r="Q90" s="3117"/>
      <c r="S90" s="3116"/>
      <c r="T90" s="3117"/>
      <c r="V90" s="836"/>
      <c r="W90" s="3243"/>
      <c r="X90" s="3244"/>
      <c r="AZ90" s="1655"/>
      <c r="BA90" s="1618">
        <v>90</v>
      </c>
    </row>
    <row r="91" spans="1:53" s="144" customFormat="1" ht="12" customHeight="1" thickBot="1">
      <c r="B91" s="144" t="s">
        <v>1195</v>
      </c>
      <c r="D91" s="289" t="s">
        <v>1322</v>
      </c>
      <c r="E91" s="851"/>
      <c r="G91" s="3130">
        <v>22000</v>
      </c>
      <c r="H91" s="3131"/>
      <c r="I91" s="145"/>
      <c r="J91" s="3130">
        <v>22000</v>
      </c>
      <c r="K91" s="3131"/>
      <c r="L91" s="815"/>
      <c r="M91" s="3130"/>
      <c r="N91" s="3131"/>
      <c r="P91" s="3130"/>
      <c r="Q91" s="3131"/>
      <c r="S91" s="3130"/>
      <c r="T91" s="3131"/>
      <c r="V91" s="836"/>
      <c r="W91" s="3247"/>
      <c r="X91" s="3248"/>
      <c r="AZ91" s="1655"/>
      <c r="BA91" s="1618">
        <v>91</v>
      </c>
    </row>
    <row r="92" spans="1:53" s="144" customFormat="1" ht="12" customHeight="1" thickTop="1">
      <c r="F92" s="281" t="s">
        <v>184</v>
      </c>
      <c r="G92" s="3249">
        <f>SUM(G88:G91)</f>
        <v>180511</v>
      </c>
      <c r="H92" s="3250"/>
      <c r="J92" s="3249">
        <f>SUM(J88:J91)</f>
        <v>180511</v>
      </c>
      <c r="K92" s="3250"/>
      <c r="L92" s="283"/>
      <c r="M92" s="3249">
        <f>SUM(M88:M91)</f>
        <v>0</v>
      </c>
      <c r="N92" s="3250"/>
      <c r="P92" s="3249">
        <f>SUM(P88:P91)</f>
        <v>0</v>
      </c>
      <c r="Q92" s="3250"/>
      <c r="S92" s="3249">
        <f>SUM(S88:S91)</f>
        <v>0</v>
      </c>
      <c r="T92" s="3250"/>
      <c r="V92" s="838">
        <f>SUM(V88:V91)</f>
        <v>0</v>
      </c>
      <c r="W92" s="3251"/>
      <c r="X92" s="3252"/>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3" t="s">
        <v>259</v>
      </c>
      <c r="K94" s="3234"/>
      <c r="L94" s="280"/>
      <c r="M94" s="3237" t="s">
        <v>459</v>
      </c>
      <c r="N94" s="3238"/>
      <c r="P94" s="3233" t="s">
        <v>260</v>
      </c>
      <c r="Q94" s="3234"/>
      <c r="S94" s="3233" t="s">
        <v>261</v>
      </c>
      <c r="T94" s="3234"/>
      <c r="V94" s="343" t="str">
        <f>B94</f>
        <v>DEVELOPMENT BUDGET  (cont'd)</v>
      </c>
      <c r="AZ94" s="1655"/>
      <c r="BA94" s="1618">
        <v>94</v>
      </c>
    </row>
    <row r="95" spans="1:53" s="144" customFormat="1" ht="18" customHeight="1" thickBot="1">
      <c r="G95" s="3241" t="s">
        <v>95</v>
      </c>
      <c r="H95" s="3242"/>
      <c r="J95" s="3235"/>
      <c r="K95" s="3236"/>
      <c r="L95" s="280"/>
      <c r="M95" s="3239"/>
      <c r="N95" s="3240"/>
      <c r="P95" s="3235"/>
      <c r="Q95" s="3236"/>
      <c r="S95" s="3235"/>
      <c r="T95" s="323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1">
        <v>116000</v>
      </c>
      <c r="H97" s="3142"/>
      <c r="J97" s="3291"/>
      <c r="K97" s="3291"/>
      <c r="L97" s="815"/>
      <c r="M97" s="3291"/>
      <c r="N97" s="3291"/>
      <c r="P97" s="3291"/>
      <c r="Q97" s="3291"/>
      <c r="S97" s="3141">
        <v>116000</v>
      </c>
      <c r="T97" s="3142"/>
      <c r="V97" s="836"/>
      <c r="W97" s="3243"/>
      <c r="X97" s="3244"/>
      <c r="AZ97" s="1655" t="s">
        <v>4280</v>
      </c>
      <c r="BA97" s="1618">
        <v>97</v>
      </c>
    </row>
    <row r="98" spans="1:53" s="144" customFormat="1" ht="12" customHeight="1">
      <c r="B98" s="144" t="s">
        <v>1197</v>
      </c>
      <c r="G98" s="3116"/>
      <c r="H98" s="3117"/>
      <c r="J98" s="3291"/>
      <c r="K98" s="3291"/>
      <c r="L98" s="815"/>
      <c r="M98" s="3291"/>
      <c r="N98" s="3291"/>
      <c r="P98" s="3291"/>
      <c r="Q98" s="3291"/>
      <c r="S98" s="3116"/>
      <c r="T98" s="3117"/>
      <c r="V98" s="836"/>
      <c r="W98" s="3243"/>
      <c r="X98" s="3244"/>
      <c r="AZ98" s="1655"/>
      <c r="BA98" s="1618">
        <v>98</v>
      </c>
    </row>
    <row r="99" spans="1:53" s="144" customFormat="1" ht="12" customHeight="1">
      <c r="B99" s="144" t="s">
        <v>1198</v>
      </c>
      <c r="G99" s="3116"/>
      <c r="H99" s="3117"/>
      <c r="J99" s="3291"/>
      <c r="K99" s="3291"/>
      <c r="L99" s="815"/>
      <c r="M99" s="3291"/>
      <c r="N99" s="3291"/>
      <c r="P99" s="3291"/>
      <c r="Q99" s="3291"/>
      <c r="S99" s="3116"/>
      <c r="T99" s="3117"/>
      <c r="V99" s="836"/>
      <c r="W99" s="3243"/>
      <c r="X99" s="3244"/>
      <c r="AZ99" s="1655"/>
      <c r="BA99" s="1618">
        <v>99</v>
      </c>
    </row>
    <row r="100" spans="1:53" s="144" customFormat="1" ht="12" customHeight="1">
      <c r="B100" s="144" t="s">
        <v>1200</v>
      </c>
      <c r="G100" s="3116"/>
      <c r="H100" s="3117"/>
      <c r="J100" s="3291"/>
      <c r="K100" s="3291"/>
      <c r="L100" s="815"/>
      <c r="M100" s="3291"/>
      <c r="N100" s="3291"/>
      <c r="P100" s="3291"/>
      <c r="Q100" s="3291"/>
      <c r="S100" s="3116"/>
      <c r="T100" s="3117"/>
      <c r="V100" s="836"/>
      <c r="W100" s="3243"/>
      <c r="X100" s="3244"/>
      <c r="AZ100" s="1655"/>
      <c r="BA100" s="1618">
        <v>100</v>
      </c>
    </row>
    <row r="101" spans="1:53" s="144" customFormat="1" ht="12" customHeight="1">
      <c r="B101" s="144" t="s">
        <v>2115</v>
      </c>
      <c r="G101" s="3116"/>
      <c r="H101" s="3117"/>
      <c r="J101" s="3291"/>
      <c r="K101" s="3291"/>
      <c r="L101" s="815"/>
      <c r="M101" s="3291"/>
      <c r="N101" s="3291"/>
      <c r="P101" s="3291"/>
      <c r="Q101" s="3291"/>
      <c r="S101" s="3116"/>
      <c r="T101" s="3117"/>
      <c r="V101" s="836"/>
      <c r="W101" s="3243"/>
      <c r="X101" s="3244"/>
      <c r="AZ101" s="1655"/>
      <c r="BA101" s="1618">
        <v>101</v>
      </c>
    </row>
    <row r="102" spans="1:53" s="144" customFormat="1" ht="12" customHeight="1" thickBot="1">
      <c r="A102" s="303" t="str">
        <f>IF(AND(G102&gt;0,OR(C102="",C102="&lt;Enter detailed description here; use Comments section if needed&gt;")),"X","")</f>
        <v/>
      </c>
      <c r="B102" s="147" t="s">
        <v>4177</v>
      </c>
      <c r="C102" s="3245" t="s">
        <v>4616</v>
      </c>
      <c r="D102" s="3245"/>
      <c r="E102" s="3245"/>
      <c r="F102" s="3246"/>
      <c r="G102" s="3130"/>
      <c r="H102" s="3131"/>
      <c r="J102" s="3291"/>
      <c r="K102" s="3291"/>
      <c r="L102" s="815"/>
      <c r="M102" s="3291"/>
      <c r="N102" s="3291"/>
      <c r="P102" s="3291"/>
      <c r="Q102" s="3291"/>
      <c r="S102" s="3130"/>
      <c r="T102" s="3131"/>
      <c r="U102" s="302" t="str">
        <f>IF(AND(G102&gt;0,OR(C102="",C102="&lt;Enter detailed description here; use Comments section if needed&gt;")),"NO DESCRIPTION PROVIDED - please enter detailed description in Other box at left; use Comments section below if needed.","")</f>
        <v/>
      </c>
      <c r="V102" s="836"/>
      <c r="W102" s="3247"/>
      <c r="X102" s="3248"/>
      <c r="AZ102" s="1655"/>
      <c r="BA102" s="1618">
        <v>102</v>
      </c>
    </row>
    <row r="103" spans="1:53" s="144" customFormat="1" ht="12" customHeight="1" thickTop="1">
      <c r="F103" s="281" t="s">
        <v>184</v>
      </c>
      <c r="G103" s="3249">
        <f>SUM(G97:G102)</f>
        <v>116000</v>
      </c>
      <c r="H103" s="3250"/>
      <c r="J103" s="3291"/>
      <c r="K103" s="3291"/>
      <c r="L103" s="283"/>
      <c r="M103" s="3291"/>
      <c r="N103" s="3291"/>
      <c r="P103" s="3291"/>
      <c r="Q103" s="3291"/>
      <c r="S103" s="3249">
        <f>SUM(S97:S102)</f>
        <v>116000</v>
      </c>
      <c r="T103" s="3250"/>
      <c r="V103" s="838">
        <f>SUM(V97:V102)</f>
        <v>0</v>
      </c>
      <c r="W103" s="3251"/>
      <c r="X103" s="3252"/>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1"/>
      <c r="H105" s="3142"/>
      <c r="J105" s="283"/>
      <c r="K105" s="283"/>
      <c r="L105" s="815"/>
      <c r="M105" s="283"/>
      <c r="N105" s="283"/>
      <c r="P105" s="283"/>
      <c r="Q105" s="283"/>
      <c r="S105" s="3141"/>
      <c r="T105" s="3142"/>
      <c r="V105" s="836"/>
      <c r="W105" s="3243"/>
      <c r="X105" s="3244"/>
      <c r="Y105" s="3292"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6">
        <v>10000</v>
      </c>
      <c r="H106" s="3117"/>
      <c r="J106" s="283"/>
      <c r="K106" s="283"/>
      <c r="L106" s="290"/>
      <c r="M106" s="283"/>
      <c r="N106" s="283"/>
      <c r="P106" s="283"/>
      <c r="Q106" s="283"/>
      <c r="S106" s="3116">
        <v>10000</v>
      </c>
      <c r="T106" s="3117"/>
      <c r="V106" s="836"/>
      <c r="W106" s="3243"/>
      <c r="X106" s="3244"/>
      <c r="Y106" s="3292"/>
      <c r="AA106" s="1841" t="s">
        <v>3067</v>
      </c>
      <c r="AB106" s="1841"/>
      <c r="AC106" s="1841"/>
      <c r="AD106" s="1842">
        <f>'Part V-Revenues &amp; Expenses'!$P$67</f>
        <v>72</v>
      </c>
      <c r="AZ106" s="1655" t="s">
        <v>4281</v>
      </c>
      <c r="BA106" s="1618">
        <v>106</v>
      </c>
    </row>
    <row r="107" spans="1:53" s="144" customFormat="1" ht="12.6" customHeight="1">
      <c r="B107" s="144" t="s">
        <v>5011</v>
      </c>
      <c r="G107" s="3116">
        <f>2000+1500</f>
        <v>3500</v>
      </c>
      <c r="H107" s="3117"/>
      <c r="J107" s="283"/>
      <c r="K107" s="283"/>
      <c r="L107" s="290"/>
      <c r="M107" s="283"/>
      <c r="N107" s="283"/>
      <c r="P107" s="283"/>
      <c r="Q107" s="283"/>
      <c r="S107" s="3116">
        <v>3500</v>
      </c>
      <c r="T107" s="3117"/>
      <c r="V107" s="836"/>
      <c r="W107" s="3243"/>
      <c r="X107" s="3244"/>
      <c r="Y107" s="3292"/>
      <c r="Z107" s="301"/>
      <c r="AA107" s="225" t="s">
        <v>4603</v>
      </c>
      <c r="AB107" s="147"/>
      <c r="AC107" s="147"/>
      <c r="AD107" s="147"/>
      <c r="AF107" s="1846" t="s">
        <v>4604</v>
      </c>
      <c r="AZ107" s="1655" t="s">
        <v>4282</v>
      </c>
      <c r="BA107" s="1618">
        <v>107</v>
      </c>
    </row>
    <row r="108" spans="1:53" s="144" customFormat="1" ht="12.6" customHeight="1">
      <c r="B108" s="144" t="s">
        <v>485</v>
      </c>
      <c r="E108" s="3293">
        <f>ROUNDUP('DCA Underwriting Assumptions'!$Q$70*J191,0)</f>
        <v>108000</v>
      </c>
      <c r="F108" s="3294"/>
      <c r="G108" s="3116">
        <v>108000</v>
      </c>
      <c r="H108" s="3117"/>
      <c r="J108" s="751" t="str">
        <f>IF(E108&gt;G108,"WARNING!  LIHTC Allocation Fee proposed is below minimum required.","")</f>
        <v/>
      </c>
      <c r="K108" s="283"/>
      <c r="L108" s="815"/>
      <c r="M108" s="283"/>
      <c r="N108" s="283"/>
      <c r="P108" s="283"/>
      <c r="Q108" s="283"/>
      <c r="S108" s="3116">
        <v>108000</v>
      </c>
      <c r="T108" s="3117"/>
      <c r="V108" s="836"/>
      <c r="W108" s="3243"/>
      <c r="X108" s="3244"/>
      <c r="Y108" s="3292"/>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3">
        <f>AF111+AF115</f>
        <v>57600</v>
      </c>
      <c r="F109" s="3294"/>
      <c r="G109" s="3116">
        <v>57600</v>
      </c>
      <c r="H109" s="3117"/>
      <c r="I109" s="3295" t="str">
        <f>IF(E109&gt;G109,"WARNING!  LIHTC Compliance Fee proposed is below minimum required.","")</f>
        <v/>
      </c>
      <c r="J109" s="3296"/>
      <c r="K109" s="3296"/>
      <c r="L109" s="3296"/>
      <c r="M109" s="3296"/>
      <c r="N109" s="3296"/>
      <c r="O109" s="3296"/>
      <c r="P109" s="3296"/>
      <c r="Q109" s="3296"/>
      <c r="R109" s="3297"/>
      <c r="S109" s="3116">
        <v>57600</v>
      </c>
      <c r="T109" s="3117"/>
      <c r="V109" s="836"/>
      <c r="W109" s="3243"/>
      <c r="X109" s="3244"/>
      <c r="Y109" s="3292"/>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16"/>
      <c r="H110" s="3117"/>
      <c r="I110" s="3295"/>
      <c r="J110" s="3296"/>
      <c r="K110" s="3296"/>
      <c r="L110" s="3296"/>
      <c r="M110" s="3296"/>
      <c r="N110" s="3296"/>
      <c r="O110" s="3296"/>
      <c r="P110" s="3296"/>
      <c r="Q110" s="3296"/>
      <c r="R110" s="3297"/>
      <c r="S110" s="3116"/>
      <c r="T110" s="3117"/>
      <c r="V110" s="836"/>
      <c r="W110" s="3243"/>
      <c r="X110" s="3244"/>
      <c r="Y110" s="3292"/>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16">
        <v>8000</v>
      </c>
      <c r="H111" s="3117"/>
      <c r="J111" s="145"/>
      <c r="K111" s="145"/>
      <c r="L111" s="145"/>
      <c r="M111" s="145"/>
      <c r="N111" s="145"/>
      <c r="O111" s="145"/>
      <c r="P111" s="145"/>
      <c r="Q111" s="145"/>
      <c r="S111" s="3116">
        <v>8000</v>
      </c>
      <c r="T111" s="3117"/>
      <c r="V111" s="836"/>
      <c r="W111" s="3243"/>
      <c r="X111" s="3244"/>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9" t="s">
        <v>4616</v>
      </c>
      <c r="D112" s="3289"/>
      <c r="E112" s="3289"/>
      <c r="F112" s="3290"/>
      <c r="G112" s="3116"/>
      <c r="H112" s="3117"/>
      <c r="J112" s="145"/>
      <c r="K112" s="145"/>
      <c r="L112" s="145"/>
      <c r="M112" s="145"/>
      <c r="N112" s="145"/>
      <c r="O112" s="145"/>
      <c r="P112" s="145"/>
      <c r="Q112" s="145"/>
      <c r="S112" s="3116"/>
      <c r="T112" s="3117"/>
      <c r="U112" s="302" t="str">
        <f>IF(AND(G112&gt;0,OR(C112="",C112="&lt;Enter detailed description here; use Comments section if needed&gt;")),"NO DESCRIPTION PROVIDED - please enter detailed description in Other box at left; use Comments section below if needed.","")</f>
        <v/>
      </c>
      <c r="V112" s="836"/>
      <c r="W112" s="3243"/>
      <c r="X112" s="3244"/>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7" t="s">
        <v>4616</v>
      </c>
      <c r="D113" s="3287"/>
      <c r="E113" s="3287"/>
      <c r="F113" s="3288"/>
      <c r="G113" s="3130"/>
      <c r="H113" s="3131"/>
      <c r="J113" s="145"/>
      <c r="K113" s="145"/>
      <c r="L113" s="145"/>
      <c r="M113" s="145"/>
      <c r="N113" s="145"/>
      <c r="O113" s="145"/>
      <c r="P113" s="145"/>
      <c r="Q113" s="145"/>
      <c r="S113" s="3130"/>
      <c r="T113" s="3131"/>
      <c r="U113" s="302" t="str">
        <f>IF(AND(G113&gt;0,OR(C113="",C113="&lt;Enter detailed description here; use Comments section if needed&gt;")),"NO DESCRIPTION PROVIDED - please enter detailed description in Other box at left; use Comments section below if needed.","")</f>
        <v/>
      </c>
      <c r="V113" s="836"/>
      <c r="W113" s="3247"/>
      <c r="X113" s="3248"/>
      <c r="AA113" s="147" t="s">
        <v>36</v>
      </c>
      <c r="AB113" s="147"/>
      <c r="AC113" s="231"/>
      <c r="AD113" s="234">
        <f>'Part V-Revenues &amp; Expenses'!$P$131</f>
        <v>72</v>
      </c>
      <c r="AF113" s="1844">
        <f>IF($AD$105="Income Averaging",AD113*'DCA Underwriting Assumptions'!$Q$75,AD113*'DCA Underwriting Assumptions'!$Q$74)</f>
        <v>57600</v>
      </c>
      <c r="AZ113" s="1655" t="s">
        <v>4284</v>
      </c>
      <c r="BA113" s="1618">
        <v>113</v>
      </c>
    </row>
    <row r="114" spans="1:53" s="144" customFormat="1" ht="12.6" customHeight="1" thickTop="1">
      <c r="F114" s="281" t="s">
        <v>184</v>
      </c>
      <c r="G114" s="3249">
        <f>SUM(G105:G113)</f>
        <v>187100</v>
      </c>
      <c r="H114" s="3250"/>
      <c r="J114" s="283"/>
      <c r="K114" s="283"/>
      <c r="L114" s="815"/>
      <c r="M114" s="283"/>
      <c r="N114" s="283"/>
      <c r="P114" s="283"/>
      <c r="Q114" s="283"/>
      <c r="S114" s="3249">
        <f>SUM(S105:S113)</f>
        <v>187100</v>
      </c>
      <c r="T114" s="3250"/>
      <c r="V114" s="838">
        <f>SUM(V105:V113)</f>
        <v>0</v>
      </c>
      <c r="W114" s="3298"/>
      <c r="X114" s="3299"/>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72</v>
      </c>
      <c r="AF115" s="1845">
        <f>SUM(AF113:AF114)</f>
        <v>57600</v>
      </c>
      <c r="AZ115" s="1631"/>
      <c r="BA115" s="1618">
        <v>115</v>
      </c>
    </row>
    <row r="116" spans="1:53" s="144" customFormat="1" ht="12.6" customHeight="1">
      <c r="B116" s="144" t="s">
        <v>267</v>
      </c>
      <c r="G116" s="3141">
        <v>10000</v>
      </c>
      <c r="H116" s="3142"/>
      <c r="J116" s="3291"/>
      <c r="K116" s="3291"/>
      <c r="L116" s="815"/>
      <c r="M116" s="3291"/>
      <c r="N116" s="3291"/>
      <c r="P116" s="3291"/>
      <c r="Q116" s="3291"/>
      <c r="S116" s="3141">
        <v>10000</v>
      </c>
      <c r="T116" s="3142"/>
      <c r="V116" s="836"/>
      <c r="W116" s="3243"/>
      <c r="X116" s="3244"/>
      <c r="AZ116" s="1631"/>
      <c r="BA116" s="1618">
        <v>116</v>
      </c>
    </row>
    <row r="117" spans="1:53" s="144" customFormat="1" ht="12.6" customHeight="1">
      <c r="B117" s="144" t="s">
        <v>268</v>
      </c>
      <c r="G117" s="3116">
        <v>10000</v>
      </c>
      <c r="H117" s="3117"/>
      <c r="J117" s="3291"/>
      <c r="K117" s="3291"/>
      <c r="L117" s="815"/>
      <c r="M117" s="3291"/>
      <c r="N117" s="3291"/>
      <c r="P117" s="3291"/>
      <c r="Q117" s="3291"/>
      <c r="S117" s="3116">
        <v>10000</v>
      </c>
      <c r="T117" s="3117"/>
      <c r="V117" s="836"/>
      <c r="W117" s="3243"/>
      <c r="X117" s="3244"/>
      <c r="AZ117" s="1631"/>
      <c r="BA117" s="1618">
        <v>117</v>
      </c>
    </row>
    <row r="118" spans="1:53" s="144" customFormat="1" ht="12.6" customHeight="1">
      <c r="B118" s="144" t="s">
        <v>2194</v>
      </c>
      <c r="G118" s="3116">
        <v>60000</v>
      </c>
      <c r="H118" s="3117"/>
      <c r="J118" s="3291"/>
      <c r="K118" s="3291"/>
      <c r="L118" s="815"/>
      <c r="M118" s="3291"/>
      <c r="N118" s="3291"/>
      <c r="P118" s="3291"/>
      <c r="Q118" s="3291"/>
      <c r="S118" s="3116">
        <v>60000</v>
      </c>
      <c r="T118" s="3117"/>
      <c r="V118" s="836"/>
      <c r="W118" s="3243"/>
      <c r="X118" s="3244"/>
      <c r="AZ118" s="1631"/>
      <c r="BA118" s="1618">
        <v>118</v>
      </c>
    </row>
    <row r="119" spans="1:53" s="144" customFormat="1" ht="12.6" customHeight="1" thickBot="1">
      <c r="A119" s="303" t="str">
        <f>IF(AND(G119&gt;0,OR(C119="",C119="&lt;Enter detailed description here; use Comments section if needed&gt;")),"X","")</f>
        <v/>
      </c>
      <c r="B119" s="147" t="s">
        <v>4173</v>
      </c>
      <c r="C119" s="3245" t="s">
        <v>4616</v>
      </c>
      <c r="D119" s="3245"/>
      <c r="E119" s="3245"/>
      <c r="F119" s="3246"/>
      <c r="G119" s="3130"/>
      <c r="H119" s="3131"/>
      <c r="J119" s="3291"/>
      <c r="K119" s="3291"/>
      <c r="L119" s="815"/>
      <c r="M119" s="3291"/>
      <c r="N119" s="3291"/>
      <c r="P119" s="3291"/>
      <c r="Q119" s="3291"/>
      <c r="S119" s="3130"/>
      <c r="T119" s="3131"/>
      <c r="U119" s="302" t="str">
        <f>IF(AND(G119&gt;0,OR(C119="",C119="&lt;Enter detailed description here; use Comments section if needed&gt;")),"NO DESCRIPTION PROVIDED - please enter detailed description in Other box at left; use Comments section below if needed.","")</f>
        <v/>
      </c>
      <c r="V119" s="836"/>
      <c r="W119" s="3247"/>
      <c r="X119" s="3248"/>
      <c r="AZ119" s="1631"/>
      <c r="BA119" s="1618">
        <v>119</v>
      </c>
    </row>
    <row r="120" spans="1:53" s="144" customFormat="1" ht="12.6" customHeight="1" thickTop="1">
      <c r="F120" s="281" t="s">
        <v>184</v>
      </c>
      <c r="G120" s="3249">
        <f>SUM(G116:G119)</f>
        <v>80000</v>
      </c>
      <c r="H120" s="3250"/>
      <c r="J120" s="3291"/>
      <c r="K120" s="3291"/>
      <c r="L120" s="815"/>
      <c r="M120" s="3291"/>
      <c r="N120" s="3291"/>
      <c r="P120" s="3291"/>
      <c r="Q120" s="3291"/>
      <c r="S120" s="3249">
        <f>SUM(S116:S119)</f>
        <v>80000</v>
      </c>
      <c r="T120" s="3250"/>
      <c r="V120" s="838">
        <f>SUM(V116:V119)</f>
        <v>0</v>
      </c>
      <c r="W120" s="3251"/>
      <c r="X120" s="3252"/>
      <c r="AC120" s="3300" t="s">
        <v>3798</v>
      </c>
      <c r="AD120" s="3300" t="s">
        <v>3799</v>
      </c>
      <c r="AE120" s="3302" t="s">
        <v>3802</v>
      </c>
      <c r="AF120" s="3303" t="s">
        <v>3800</v>
      </c>
      <c r="AG120" s="3302" t="s">
        <v>3791</v>
      </c>
      <c r="AH120" s="3305" t="s">
        <v>4636</v>
      </c>
      <c r="AI120" s="3305"/>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1"/>
      <c r="AD121" s="3301"/>
      <c r="AE121" s="3037"/>
      <c r="AF121" s="3304"/>
      <c r="AG121" s="3302"/>
      <c r="AH121" s="3305"/>
      <c r="AI121" s="3305"/>
      <c r="AK121" s="44"/>
      <c r="AZ121" s="1631" t="s">
        <v>4286</v>
      </c>
      <c r="BA121" s="1618">
        <v>121</v>
      </c>
    </row>
    <row r="122" spans="1:53" s="144" customFormat="1" ht="12.6" customHeight="1">
      <c r="B122" s="144" t="s">
        <v>1719</v>
      </c>
      <c r="F122" s="322">
        <f>IF($G$127=0,0,G122/$G$127)</f>
        <v>1</v>
      </c>
      <c r="G122" s="3318">
        <v>1848000</v>
      </c>
      <c r="H122" s="3318"/>
      <c r="J122" s="3319">
        <v>1848000</v>
      </c>
      <c r="K122" s="3320"/>
      <c r="L122" s="282"/>
      <c r="M122" s="3319"/>
      <c r="N122" s="3320"/>
      <c r="P122" s="3319"/>
      <c r="Q122" s="3320"/>
      <c r="S122" s="3319"/>
      <c r="T122" s="3320"/>
      <c r="V122" s="836"/>
      <c r="W122" s="3243"/>
      <c r="X122" s="3244"/>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6">
        <f>SUM(AE122:AE124)</f>
        <v>1848000</v>
      </c>
      <c r="AG122" s="3309">
        <f>'DCA Underwriting Assumptions'!$Q$89</f>
        <v>2285000</v>
      </c>
      <c r="AH122" s="3312">
        <f>MIN(AF122,AG122)</f>
        <v>1848000</v>
      </c>
      <c r="AI122" s="3313"/>
      <c r="AZ122" s="1631"/>
      <c r="BA122" s="1618">
        <v>122</v>
      </c>
    </row>
    <row r="123" spans="1:53" s="144" customFormat="1" ht="12.6" customHeight="1">
      <c r="B123" s="144" t="s">
        <v>3324</v>
      </c>
      <c r="F123" s="936"/>
      <c r="G123" s="241" t="s">
        <v>4617</v>
      </c>
      <c r="V123" s="836"/>
      <c r="W123" s="3243"/>
      <c r="X123" s="3244"/>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7"/>
      <c r="AG123" s="3310"/>
      <c r="AH123" s="3314"/>
      <c r="AI123" s="3315"/>
      <c r="AZ123" s="1631"/>
      <c r="BA123" s="1618">
        <v>123</v>
      </c>
    </row>
    <row r="124" spans="1:53" s="144" customFormat="1" ht="12.6" customHeight="1">
      <c r="B124" s="144" t="s">
        <v>1720</v>
      </c>
      <c r="F124" s="322">
        <f>IF($G$127=0,0,G124/$G$127)</f>
        <v>0</v>
      </c>
      <c r="G124" s="3141"/>
      <c r="H124" s="3142"/>
      <c r="J124" s="3141"/>
      <c r="K124" s="3142"/>
      <c r="L124" s="815"/>
      <c r="M124" s="3141"/>
      <c r="N124" s="3142"/>
      <c r="P124" s="3141"/>
      <c r="Q124" s="3142"/>
      <c r="S124" s="3141"/>
      <c r="T124" s="3142"/>
      <c r="V124" s="836"/>
      <c r="W124" s="3243"/>
      <c r="X124" s="3244"/>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33000</v>
      </c>
      <c r="AF124" s="3308"/>
      <c r="AG124" s="3311"/>
      <c r="AH124" s="3316"/>
      <c r="AI124" s="3317"/>
      <c r="AZ124" s="1631"/>
      <c r="BA124" s="1618">
        <v>124</v>
      </c>
    </row>
    <row r="125" spans="1:53" s="144" customFormat="1" ht="12.6" customHeight="1">
      <c r="B125" s="144" t="s">
        <v>3079</v>
      </c>
      <c r="F125" s="322">
        <f>IF($G$127=0,0,G125/$G$127)</f>
        <v>0</v>
      </c>
      <c r="G125" s="3116"/>
      <c r="H125" s="3117"/>
      <c r="J125" s="3116"/>
      <c r="K125" s="3117"/>
      <c r="L125" s="815"/>
      <c r="M125" s="3116"/>
      <c r="N125" s="3117"/>
      <c r="P125" s="3116"/>
      <c r="Q125" s="3117"/>
      <c r="S125" s="3116"/>
      <c r="T125" s="3117"/>
      <c r="V125" s="836"/>
      <c r="W125" s="3243"/>
      <c r="X125" s="3244"/>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6">
        <f>SUM(AE125:AE127)</f>
        <v>1848000</v>
      </c>
      <c r="AG125" s="3306">
        <f>'DCA Underwriting Assumptions'!$Q$90</f>
        <v>4000000</v>
      </c>
      <c r="AH125" s="3312">
        <f>MIN(AF125,AG125)</f>
        <v>1848000</v>
      </c>
      <c r="AI125" s="3313"/>
      <c r="AZ125" s="1631"/>
      <c r="BA125" s="1618">
        <v>125</v>
      </c>
    </row>
    <row r="126" spans="1:53" s="144" customFormat="1" ht="12.6" customHeight="1" thickBot="1">
      <c r="B126" s="144" t="s">
        <v>1712</v>
      </c>
      <c r="F126" s="322">
        <f>IF($G$127=0,0,G126/$G$127)</f>
        <v>0</v>
      </c>
      <c r="G126" s="3130"/>
      <c r="H126" s="3131"/>
      <c r="J126" s="3130"/>
      <c r="K126" s="3131"/>
      <c r="L126" s="815"/>
      <c r="M126" s="3130"/>
      <c r="N126" s="3131"/>
      <c r="P126" s="3130"/>
      <c r="Q126" s="3131"/>
      <c r="S126" s="3130"/>
      <c r="T126" s="3131"/>
      <c r="V126" s="836"/>
      <c r="W126" s="3247"/>
      <c r="X126" s="324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7"/>
      <c r="AG126" s="3307"/>
      <c r="AH126" s="3314"/>
      <c r="AI126" s="3315"/>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1848000</v>
      </c>
      <c r="F127" s="281" t="s">
        <v>184</v>
      </c>
      <c r="G127" s="3249">
        <f>SUM(G122:G126)</f>
        <v>1848000</v>
      </c>
      <c r="H127" s="3321"/>
      <c r="J127" s="3249">
        <f>SUM(J122:J126)</f>
        <v>1848000</v>
      </c>
      <c r="K127" s="3321"/>
      <c r="L127" s="815"/>
      <c r="M127" s="3249">
        <f>SUM(M122:M126)</f>
        <v>0</v>
      </c>
      <c r="N127" s="3321"/>
      <c r="P127" s="3249">
        <f>SUM(P122:P126)</f>
        <v>0</v>
      </c>
      <c r="Q127" s="3321"/>
      <c r="S127" s="3249">
        <f>SUM(S122:S126)</f>
        <v>0</v>
      </c>
      <c r="T127" s="3321"/>
      <c r="V127" s="838">
        <f>SUM(V122:V126)</f>
        <v>0</v>
      </c>
      <c r="W127" s="3251"/>
      <c r="X127" s="3252"/>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33000</v>
      </c>
      <c r="AF127" s="3308"/>
      <c r="AG127" s="3308"/>
      <c r="AH127" s="3316"/>
      <c r="AI127" s="3317"/>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1">
        <v>25000</v>
      </c>
      <c r="H129" s="3142"/>
      <c r="J129" s="291"/>
      <c r="K129" s="291"/>
      <c r="L129" s="291"/>
      <c r="M129" s="291"/>
      <c r="N129" s="291"/>
      <c r="P129" s="291"/>
      <c r="Q129" s="291"/>
      <c r="S129" s="3141">
        <v>25000</v>
      </c>
      <c r="T129" s="3142"/>
      <c r="V129" s="836"/>
      <c r="W129" s="3243"/>
      <c r="X129" s="3244"/>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124459.75</v>
      </c>
      <c r="G130" s="3116">
        <v>125000</v>
      </c>
      <c r="H130" s="3117"/>
      <c r="J130" s="752" t="str">
        <f>IF(E130&gt;G130,"WARNING! Rent-Up Reserves proposed is below minimum - add comment.","")</f>
        <v/>
      </c>
      <c r="K130" s="752"/>
      <c r="L130" s="815"/>
      <c r="M130" s="737"/>
      <c r="N130" s="737"/>
      <c r="P130" s="737"/>
      <c r="Q130" s="737"/>
      <c r="S130" s="3116">
        <v>125000</v>
      </c>
      <c r="T130" s="3117"/>
      <c r="V130" s="836"/>
      <c r="W130" s="3243"/>
      <c r="X130" s="3244"/>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360439.95154129306</v>
      </c>
      <c r="G131" s="3116">
        <v>372000</v>
      </c>
      <c r="H131" s="3117"/>
      <c r="J131" s="752" t="str">
        <f>IF(E131&gt;G131,"WARNING! ODR proposed is below minimum - add comment.","")</f>
        <v/>
      </c>
      <c r="K131" s="290"/>
      <c r="L131" s="290"/>
      <c r="M131" s="290"/>
      <c r="N131" s="290"/>
      <c r="P131" s="290"/>
      <c r="Q131" s="290"/>
      <c r="S131" s="3116">
        <v>372000</v>
      </c>
      <c r="T131" s="3117"/>
      <c r="V131" s="836"/>
      <c r="W131" s="3243"/>
      <c r="X131" s="3244"/>
      <c r="Y131"/>
      <c r="Z131" s="1244"/>
      <c r="AB131" s="236"/>
      <c r="AD131"/>
      <c r="AG131"/>
      <c r="AH131"/>
      <c r="AI131"/>
      <c r="AZ131" s="1655"/>
      <c r="BA131" s="1618">
        <v>131</v>
      </c>
    </row>
    <row r="132" spans="1:53" s="144" customFormat="1" ht="12.6" customHeight="1">
      <c r="B132" s="144" t="s">
        <v>1169</v>
      </c>
      <c r="G132" s="3116"/>
      <c r="H132" s="3117"/>
      <c r="J132" s="291"/>
      <c r="K132" s="291"/>
      <c r="L132" s="291"/>
      <c r="M132" s="291"/>
      <c r="N132" s="291"/>
      <c r="P132" s="291"/>
      <c r="Q132" s="291"/>
      <c r="S132" s="3116"/>
      <c r="T132" s="3117"/>
      <c r="V132" s="836"/>
      <c r="W132" s="3243"/>
      <c r="X132" s="3244"/>
      <c r="AZ132" s="1655" t="s">
        <v>4289</v>
      </c>
      <c r="BA132" s="1618">
        <v>132</v>
      </c>
    </row>
    <row r="133" spans="1:53" s="144" customFormat="1" ht="12.6" customHeight="1">
      <c r="B133" s="144" t="s">
        <v>1170</v>
      </c>
      <c r="E133" s="646" t="s">
        <v>3053</v>
      </c>
      <c r="F133" s="364">
        <f>IF('Part V-Revenues &amp; Expenses'!$P$67=0,0,G133/'Part V-Revenues &amp; Expenses'!$P$67)</f>
        <v>800</v>
      </c>
      <c r="G133" s="3116">
        <v>57600</v>
      </c>
      <c r="H133" s="3117"/>
      <c r="J133" s="3141">
        <f>G133</f>
        <v>57600</v>
      </c>
      <c r="K133" s="3142"/>
      <c r="L133" s="815"/>
      <c r="M133" s="3141"/>
      <c r="N133" s="3142"/>
      <c r="P133" s="3141"/>
      <c r="Q133" s="3142"/>
      <c r="S133" s="3116"/>
      <c r="T133" s="3117"/>
      <c r="V133" s="836"/>
      <c r="W133" s="3243"/>
      <c r="X133" s="3244"/>
      <c r="AZ133" s="1655" t="s">
        <v>4290</v>
      </c>
      <c r="BA133" s="1618">
        <v>133</v>
      </c>
    </row>
    <row r="134" spans="1:53" s="144" customFormat="1" ht="12.6" customHeight="1" thickBot="1">
      <c r="A134" s="303" t="str">
        <f>IF(AND(G134&gt;0,OR(C134="",C134="&lt;Enter detailed description here; use Comments section if needed&gt;")),"X","")</f>
        <v/>
      </c>
      <c r="B134" s="147" t="s">
        <v>4173</v>
      </c>
      <c r="C134" s="3245" t="s">
        <v>4616</v>
      </c>
      <c r="D134" s="3245"/>
      <c r="E134" s="3245"/>
      <c r="F134" s="3246"/>
      <c r="G134" s="3130"/>
      <c r="H134" s="3131"/>
      <c r="J134" s="3253"/>
      <c r="K134" s="3254"/>
      <c r="L134" s="815"/>
      <c r="M134" s="3130"/>
      <c r="N134" s="3131"/>
      <c r="P134" s="3130"/>
      <c r="Q134" s="3131"/>
      <c r="S134" s="3130"/>
      <c r="T134" s="3131"/>
      <c r="U134" s="302" t="str">
        <f>IF(AND(G134&gt;0,OR(C134="",C134="&lt;Enter detailed description here; use Comments section if needed&gt;")),"NO DESCRIPTION PROVIDED - please enter detailed description in Other box at left; use Comments section below if needed.","")</f>
        <v/>
      </c>
      <c r="V134" s="836"/>
      <c r="W134" s="3247"/>
      <c r="X134" s="3248"/>
      <c r="AZ134" s="1655"/>
      <c r="BA134" s="1618">
        <v>134</v>
      </c>
    </row>
    <row r="135" spans="1:53" s="144" customFormat="1" ht="12.6" customHeight="1" thickTop="1">
      <c r="B135" s="292"/>
      <c r="F135" s="281" t="s">
        <v>184</v>
      </c>
      <c r="G135" s="3249">
        <f>SUM(G129:G134)</f>
        <v>579600</v>
      </c>
      <c r="H135" s="3250"/>
      <c r="J135" s="3249">
        <f>SUM(J133:J134)</f>
        <v>57600</v>
      </c>
      <c r="K135" s="3250"/>
      <c r="L135" s="815"/>
      <c r="M135" s="3249">
        <f>SUM(M133:M134)</f>
        <v>0</v>
      </c>
      <c r="N135" s="3250"/>
      <c r="P135" s="3249">
        <f>SUM(P133:P134)</f>
        <v>0</v>
      </c>
      <c r="Q135" s="3250"/>
      <c r="S135" s="3249">
        <f>SUM(S129:S134)</f>
        <v>522000</v>
      </c>
      <c r="T135" s="3250"/>
      <c r="V135" s="838">
        <f>SUM(V129:V134)</f>
        <v>0</v>
      </c>
      <c r="W135" s="3251"/>
      <c r="X135" s="3252"/>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3" t="s">
        <v>259</v>
      </c>
      <c r="K139" s="3234"/>
      <c r="L139" s="280"/>
      <c r="M139" s="3237" t="s">
        <v>459</v>
      </c>
      <c r="N139" s="3238"/>
      <c r="P139" s="3233" t="s">
        <v>260</v>
      </c>
      <c r="Q139" s="3234"/>
      <c r="S139" s="3233" t="s">
        <v>261</v>
      </c>
      <c r="T139" s="3234"/>
      <c r="V139" s="343" t="str">
        <f>B139</f>
        <v>DEVELOPMENT BUDGET  (cont'd)</v>
      </c>
      <c r="AZ139" s="1655"/>
      <c r="BA139" s="1618">
        <v>139</v>
      </c>
    </row>
    <row r="140" spans="1:53" s="144" customFormat="1" ht="18" customHeight="1" thickBot="1">
      <c r="G140" s="3241" t="s">
        <v>95</v>
      </c>
      <c r="H140" s="3242"/>
      <c r="J140" s="3235"/>
      <c r="K140" s="3236"/>
      <c r="L140" s="280"/>
      <c r="M140" s="3239"/>
      <c r="N140" s="3240"/>
      <c r="P140" s="3235"/>
      <c r="Q140" s="3236"/>
      <c r="S140" s="3235"/>
      <c r="T140" s="323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1"/>
      <c r="H142" s="3142"/>
      <c r="J142" s="3141"/>
      <c r="K142" s="3142"/>
      <c r="L142" s="282"/>
      <c r="M142" s="3141"/>
      <c r="N142" s="3142"/>
      <c r="P142" s="3141"/>
      <c r="Q142" s="3142"/>
      <c r="S142" s="3141"/>
      <c r="T142" s="3142"/>
      <c r="V142" s="836"/>
      <c r="W142" s="3243"/>
      <c r="X142" s="3244"/>
      <c r="AZ142" s="1655"/>
      <c r="BA142" s="1618">
        <v>142</v>
      </c>
    </row>
    <row r="143" spans="1:53" s="144" customFormat="1" ht="12.6" customHeight="1" thickBot="1">
      <c r="A143" s="303" t="str">
        <f>IF(AND(G143&gt;0,OR(C143="",C143="&lt;Enter detailed description here; use Comments section if needed&gt;")),"X","")</f>
        <v/>
      </c>
      <c r="B143" s="147" t="s">
        <v>4173</v>
      </c>
      <c r="C143" s="3245" t="s">
        <v>4616</v>
      </c>
      <c r="D143" s="3245"/>
      <c r="E143" s="3245"/>
      <c r="F143" s="3246"/>
      <c r="G143" s="3130"/>
      <c r="H143" s="3131"/>
      <c r="J143" s="3130"/>
      <c r="K143" s="3131"/>
      <c r="L143" s="815"/>
      <c r="M143" s="3130"/>
      <c r="N143" s="3131"/>
      <c r="P143" s="3130"/>
      <c r="Q143" s="3131"/>
      <c r="S143" s="3130"/>
      <c r="T143" s="3131"/>
      <c r="U143" s="302" t="str">
        <f>IF(AND(G143&gt;0,OR(C143="",C143="&lt;Enter detailed description here; use Comments section if needed&gt;")),"NO DESCRIPTION PROVIDED - please enter detailed description in Other box at left; use Comments section below if needed.","")</f>
        <v/>
      </c>
      <c r="V143" s="836"/>
      <c r="W143" s="3247"/>
      <c r="X143" s="3248"/>
      <c r="AZ143" s="1655"/>
      <c r="BA143" s="1618">
        <v>143</v>
      </c>
    </row>
    <row r="144" spans="1:53" s="144" customFormat="1" ht="12.6" customHeight="1" thickTop="1">
      <c r="C144" s="246"/>
      <c r="F144" s="281" t="s">
        <v>184</v>
      </c>
      <c r="G144" s="3249">
        <f>SUM(G142:G143)</f>
        <v>0</v>
      </c>
      <c r="H144" s="3250"/>
      <c r="J144" s="3249">
        <f>SUM(J142:J143)</f>
        <v>0</v>
      </c>
      <c r="K144" s="3250"/>
      <c r="L144" s="815"/>
      <c r="M144" s="3249">
        <f>SUM(M142:M143)</f>
        <v>0</v>
      </c>
      <c r="N144" s="3250"/>
      <c r="P144" s="3249">
        <f>SUM(P142:P143)</f>
        <v>0</v>
      </c>
      <c r="Q144" s="3250"/>
      <c r="S144" s="3249">
        <f>SUM(S142:S143)</f>
        <v>0</v>
      </c>
      <c r="T144" s="3250"/>
      <c r="V144" s="838">
        <f>SUM(V142:V143)</f>
        <v>0</v>
      </c>
      <c r="W144" s="3251"/>
      <c r="X144" s="3252"/>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2">
        <f>G18+G24+G28+G36+G41+G46+G55+G73+G86+G92+G103+G114+G120+G127+G135+G144</f>
        <v>22451548.931046732</v>
      </c>
      <c r="H146" s="3323"/>
      <c r="J146" s="3322">
        <f>J18+J24+J28+J36+J41+J46+J55+J73+J86+J92+J103+J114+J120+J127+J135+J144</f>
        <v>19994605.883558158</v>
      </c>
      <c r="K146" s="3323"/>
      <c r="M146" s="3322">
        <f>M18+M24+M28+M36+M41+M46+M55+M73+M86+M92+M103+M114+M120+M127+M135+M144</f>
        <v>0</v>
      </c>
      <c r="N146" s="3323"/>
      <c r="P146" s="3322">
        <f>P18+P24+P28+P36+P41+P46+P55+P73+P86+P92+P103+P114+P120+P127+P135+P144</f>
        <v>0</v>
      </c>
      <c r="Q146" s="3323"/>
      <c r="S146" s="3322">
        <f>S18+S24+S28+S36+S41+S46+S55+S73+S86+S92+S103+S114+S120+S127+S135+S144</f>
        <v>2456943.047488573</v>
      </c>
      <c r="T146" s="3323"/>
      <c r="V146" s="842">
        <f>V18+V24+V28+V36+V41+V46+V55+V73+V86+V92+V103+V114+V120+V127+V135+V144</f>
        <v>0</v>
      </c>
      <c r="W146" s="3324"/>
      <c r="X146" s="3252"/>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7">
        <f>IF('Part V-Revenues &amp; Expenses'!$P$67=0,0,G146/'Part V-Revenues &amp; Expenses'!$P$67)</f>
        <v>311827.06848676014</v>
      </c>
      <c r="E148" s="3327"/>
      <c r="F148" s="389" t="s">
        <v>2480</v>
      </c>
      <c r="G148" s="3328">
        <f>IF('Part V-Revenues &amp; Expenses'!$K$179=0,0,G146/'Part V-Revenues &amp; Expenses'!$K$179)</f>
        <v>260.75062293531346</v>
      </c>
      <c r="H148" s="3329"/>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3" t="s">
        <v>259</v>
      </c>
      <c r="K150" s="3234"/>
      <c r="M150" s="3233" t="s">
        <v>94</v>
      </c>
      <c r="N150" s="3234"/>
      <c r="P150" s="3233" t="s">
        <v>260</v>
      </c>
      <c r="Q150" s="3234"/>
      <c r="V150" s="839"/>
      <c r="W150" s="343" t="str">
        <f>B150</f>
        <v>TAX CREDIT CALCULATION - BASIS METHOD</v>
      </c>
      <c r="AZ150" s="1655"/>
      <c r="BA150" s="1618">
        <v>150</v>
      </c>
    </row>
    <row r="151" spans="1:53" s="144" customFormat="1" ht="15" customHeight="1" thickBot="1">
      <c r="B151" s="222" t="s">
        <v>1889</v>
      </c>
      <c r="D151" s="815"/>
      <c r="E151" s="815"/>
      <c r="I151" s="295"/>
      <c r="J151" s="3235"/>
      <c r="K151" s="3236"/>
      <c r="L151" s="374"/>
      <c r="M151" s="3235"/>
      <c r="N151" s="3236"/>
      <c r="P151" s="3235"/>
      <c r="Q151" s="323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30"/>
      <c r="K153" s="3331"/>
      <c r="P153" s="3330"/>
      <c r="Q153" s="3331"/>
      <c r="V153" s="836"/>
      <c r="W153" s="3243"/>
      <c r="X153" s="3244"/>
      <c r="AZ153" s="1655"/>
      <c r="BA153" s="1618">
        <v>153</v>
      </c>
    </row>
    <row r="154" spans="1:53" s="144" customFormat="1" ht="14.1" customHeight="1">
      <c r="B154" s="144" t="s">
        <v>1993</v>
      </c>
      <c r="I154" s="295"/>
      <c r="J154" s="3325"/>
      <c r="K154" s="3326"/>
      <c r="P154" s="3325"/>
      <c r="Q154" s="3326"/>
      <c r="V154" s="836"/>
      <c r="W154" s="3243"/>
      <c r="X154" s="3244"/>
      <c r="AZ154" s="1655"/>
      <c r="BA154" s="1618">
        <v>154</v>
      </c>
    </row>
    <row r="155" spans="1:53" s="144" customFormat="1" ht="14.1" customHeight="1">
      <c r="B155" s="144" t="s">
        <v>1722</v>
      </c>
      <c r="I155" s="295"/>
      <c r="J155" s="3325"/>
      <c r="K155" s="3326"/>
      <c r="P155" s="3325"/>
      <c r="Q155" s="3326"/>
      <c r="V155" s="836"/>
      <c r="W155" s="3243"/>
      <c r="X155" s="3244"/>
      <c r="AZ155" s="1655"/>
      <c r="BA155" s="1618">
        <v>155</v>
      </c>
    </row>
    <row r="156" spans="1:53" s="144" customFormat="1" ht="14.1" customHeight="1">
      <c r="B156" s="144" t="s">
        <v>1723</v>
      </c>
      <c r="I156" s="295"/>
      <c r="J156" s="3325"/>
      <c r="K156" s="3326"/>
      <c r="P156" s="3325"/>
      <c r="Q156" s="3326"/>
      <c r="V156" s="836"/>
      <c r="W156" s="3243"/>
      <c r="X156" s="3244"/>
      <c r="AZ156" s="1655"/>
      <c r="BA156" s="1618">
        <v>156</v>
      </c>
    </row>
    <row r="157" spans="1:53" s="144" customFormat="1" ht="14.1" customHeight="1">
      <c r="B157" s="144" t="s">
        <v>243</v>
      </c>
      <c r="I157" s="295"/>
      <c r="J157" s="3325"/>
      <c r="K157" s="3326"/>
      <c r="P157" s="3325"/>
      <c r="Q157" s="3326"/>
      <c r="V157" s="836"/>
      <c r="W157" s="3243"/>
      <c r="X157" s="3244"/>
      <c r="AZ157" s="1655"/>
      <c r="BA157" s="1618">
        <v>157</v>
      </c>
    </row>
    <row r="158" spans="1:53" s="144" customFormat="1" ht="14.1" customHeight="1" thickBot="1">
      <c r="B158" s="144" t="s">
        <v>1494</v>
      </c>
      <c r="C158" s="3332" t="s">
        <v>2218</v>
      </c>
      <c r="D158" s="3332"/>
      <c r="E158" s="3332"/>
      <c r="F158" s="3332"/>
      <c r="G158" s="3332"/>
      <c r="H158" s="3332"/>
      <c r="I158" s="3333"/>
      <c r="J158" s="3334"/>
      <c r="K158" s="3335"/>
      <c r="P158" s="3334"/>
      <c r="Q158" s="3335"/>
      <c r="V158" s="836"/>
      <c r="W158" s="3247"/>
      <c r="X158" s="3248"/>
      <c r="AZ158" s="1655"/>
      <c r="BA158" s="1618">
        <v>158</v>
      </c>
    </row>
    <row r="159" spans="1:53" s="144" customFormat="1" ht="14.1" customHeight="1" thickBot="1">
      <c r="B159" s="243" t="s">
        <v>1724</v>
      </c>
      <c r="C159" s="250"/>
      <c r="J159" s="3212">
        <f>SUM(J153:K158)</f>
        <v>0</v>
      </c>
      <c r="K159" s="3213"/>
      <c r="P159" s="3212">
        <f>SUM(P153:Q158)</f>
        <v>0</v>
      </c>
      <c r="Q159" s="3213"/>
      <c r="V159" s="838">
        <f>SUM(V153:V158)</f>
        <v>0</v>
      </c>
      <c r="W159" s="3251"/>
      <c r="X159" s="3252"/>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6">
        <f>J146</f>
        <v>19994605.883558158</v>
      </c>
      <c r="K162" s="3337"/>
      <c r="M162" s="3338">
        <f>M146</f>
        <v>0</v>
      </c>
      <c r="N162" s="3339"/>
      <c r="P162" s="3336">
        <f>P146</f>
        <v>0</v>
      </c>
      <c r="Q162" s="3337"/>
      <c r="R162" s="3340" t="s">
        <v>4753</v>
      </c>
      <c r="S162" s="3341"/>
      <c r="T162" s="3341"/>
      <c r="V162" s="836"/>
      <c r="W162" s="3243"/>
      <c r="X162" s="3244"/>
      <c r="AZ162" s="1655"/>
      <c r="BA162" s="1618">
        <v>162</v>
      </c>
    </row>
    <row r="163" spans="1:53" s="144" customFormat="1" ht="14.1" customHeight="1">
      <c r="B163" s="144" t="s">
        <v>2047</v>
      </c>
      <c r="J163" s="3342">
        <f>J159</f>
        <v>0</v>
      </c>
      <c r="K163" s="3343"/>
      <c r="M163" s="3344"/>
      <c r="N163" s="3344"/>
      <c r="P163" s="3342">
        <f>P159</f>
        <v>0</v>
      </c>
      <c r="Q163" s="3343"/>
      <c r="R163" s="3340"/>
      <c r="S163" s="3341"/>
      <c r="T163" s="3341"/>
      <c r="U163" s="1110"/>
      <c r="V163" s="836"/>
      <c r="W163" s="3243"/>
      <c r="X163" s="3244"/>
      <c r="AZ163" s="1655"/>
      <c r="BA163" s="1618">
        <v>163</v>
      </c>
    </row>
    <row r="164" spans="1:53" s="144" customFormat="1" ht="14.1" customHeight="1">
      <c r="B164" s="144" t="s">
        <v>2048</v>
      </c>
      <c r="J164" s="3342">
        <f>J162-J163</f>
        <v>19994605.883558158</v>
      </c>
      <c r="K164" s="3343"/>
      <c r="M164" s="3345">
        <f>M162</f>
        <v>0</v>
      </c>
      <c r="N164" s="3346"/>
      <c r="P164" s="3342">
        <f>P162-P163</f>
        <v>0</v>
      </c>
      <c r="Q164" s="3343"/>
      <c r="R164" s="3347" t="s">
        <v>4754</v>
      </c>
      <c r="S164" s="3348"/>
      <c r="T164" s="3349"/>
      <c r="U164" s="1110"/>
      <c r="V164" s="836"/>
      <c r="W164" s="3243"/>
      <c r="X164" s="3244"/>
      <c r="AZ164" s="1655"/>
      <c r="BA164" s="1618">
        <v>164</v>
      </c>
    </row>
    <row r="165" spans="1:53" s="144" customFormat="1" ht="14.1" customHeight="1">
      <c r="B165" s="144" t="s">
        <v>1388</v>
      </c>
      <c r="G165" s="248" t="s">
        <v>1591</v>
      </c>
      <c r="H165" s="3356" t="s">
        <v>1641</v>
      </c>
      <c r="I165" s="3357"/>
      <c r="J165" s="3358">
        <v>1</v>
      </c>
      <c r="K165" s="3359"/>
      <c r="M165" s="3360"/>
      <c r="N165" s="3360"/>
      <c r="P165" s="3358"/>
      <c r="Q165" s="3359"/>
      <c r="R165" s="3350"/>
      <c r="S165" s="3351"/>
      <c r="T165" s="3352"/>
      <c r="U165" s="1111"/>
      <c r="V165" s="836"/>
      <c r="W165" s="3243"/>
      <c r="X165" s="3244"/>
      <c r="AZ165" s="1655"/>
      <c r="BA165" s="1618">
        <v>165</v>
      </c>
    </row>
    <row r="166" spans="1:53" s="144" customFormat="1" ht="14.1" customHeight="1">
      <c r="B166" s="144" t="s">
        <v>1898</v>
      </c>
      <c r="J166" s="3342">
        <f>J164*J165</f>
        <v>19994605.883558158</v>
      </c>
      <c r="K166" s="3343"/>
      <c r="M166" s="3336">
        <f>+M164</f>
        <v>0</v>
      </c>
      <c r="N166" s="3337"/>
      <c r="P166" s="3342">
        <f>P164*P165</f>
        <v>0</v>
      </c>
      <c r="Q166" s="3343"/>
      <c r="R166" s="3353"/>
      <c r="S166" s="3354"/>
      <c r="T166" s="3355"/>
      <c r="U166" s="1111"/>
      <c r="V166" s="836"/>
      <c r="W166" s="3243"/>
      <c r="X166" s="3244"/>
      <c r="AZ166" s="1655"/>
      <c r="BA166" s="1618">
        <v>166</v>
      </c>
    </row>
    <row r="167" spans="1:53" s="144" customFormat="1" ht="14.1" customHeight="1">
      <c r="B167" s="144" t="s">
        <v>2333</v>
      </c>
      <c r="J167" s="3361">
        <f>MIN('Part V-Revenues &amp; Expenses'!$P$63/'Part V-Revenues &amp; Expenses'!$P$65,'Part V-Revenues &amp; Expenses'!$P$168/'Part V-Revenues &amp; Expenses'!$P$170)</f>
        <v>0.875</v>
      </c>
      <c r="K167" s="3362"/>
      <c r="M167" s="3361">
        <f>MIN('Part V-Revenues &amp; Expenses'!$P$63/'Part V-Revenues &amp; Expenses'!$P$65,'Part V-Revenues &amp; Expenses'!$P$168/'Part V-Revenues &amp; Expenses'!$P$170)</f>
        <v>0.875</v>
      </c>
      <c r="N167" s="3362"/>
      <c r="P167" s="3361">
        <f>MIN('Part V-Revenues &amp; Expenses'!$P$63/'Part V-Revenues &amp; Expenses'!$P$65,'Part V-Revenues &amp; Expenses'!$P$168/'Part V-Revenues &amp; Expenses'!$P$170)</f>
        <v>0.875</v>
      </c>
      <c r="Q167" s="3362"/>
      <c r="R167" s="3363" t="s">
        <v>4755</v>
      </c>
      <c r="S167" s="3364"/>
      <c r="T167" s="3365"/>
      <c r="V167" s="836"/>
      <c r="W167" s="3243"/>
      <c r="X167" s="3244"/>
      <c r="AZ167" s="1655"/>
      <c r="BA167" s="1618">
        <v>167</v>
      </c>
    </row>
    <row r="168" spans="1:53" s="144" customFormat="1" ht="14.1" customHeight="1">
      <c r="B168" s="144" t="s">
        <v>1890</v>
      </c>
      <c r="J168" s="3342">
        <f>J166*J167</f>
        <v>17495280.148113389</v>
      </c>
      <c r="K168" s="3343"/>
      <c r="M168" s="3342">
        <f>M166*M167</f>
        <v>0</v>
      </c>
      <c r="N168" s="3343"/>
      <c r="P168" s="3342">
        <f>P166*P167</f>
        <v>0</v>
      </c>
      <c r="Q168" s="3343"/>
      <c r="V168" s="836"/>
      <c r="W168" s="3243"/>
      <c r="X168" s="3244"/>
      <c r="AZ168" s="1655"/>
      <c r="BA168" s="1618">
        <v>168</v>
      </c>
    </row>
    <row r="169" spans="1:53" s="144" customFormat="1" ht="14.1" customHeight="1">
      <c r="B169" s="144" t="s">
        <v>1891</v>
      </c>
      <c r="J169" s="3358">
        <v>0.09</v>
      </c>
      <c r="K169" s="3359"/>
      <c r="M169" s="3358"/>
      <c r="N169" s="3359"/>
      <c r="P169" s="3358"/>
      <c r="Q169" s="3359"/>
      <c r="V169" s="836"/>
      <c r="W169" s="3243"/>
      <c r="X169" s="3244"/>
      <c r="AZ169" s="1655"/>
      <c r="BA169" s="1618">
        <v>169</v>
      </c>
    </row>
    <row r="170" spans="1:53" s="144" customFormat="1" ht="14.1" customHeight="1" thickBot="1">
      <c r="B170" s="144" t="s">
        <v>2334</v>
      </c>
      <c r="J170" s="3366">
        <f>J168*J169</f>
        <v>1574575.2133302048</v>
      </c>
      <c r="K170" s="3367"/>
      <c r="M170" s="3366">
        <f>M168*M169</f>
        <v>0</v>
      </c>
      <c r="N170" s="3367"/>
      <c r="P170" s="3366">
        <f>P168*P169</f>
        <v>0</v>
      </c>
      <c r="Q170" s="3367"/>
      <c r="V170" s="843"/>
      <c r="W170" s="3247"/>
      <c r="X170" s="3248"/>
      <c r="AZ170" s="1655"/>
      <c r="BA170" s="1618">
        <v>170</v>
      </c>
    </row>
    <row r="171" spans="1:53" s="144" customFormat="1" ht="14.1" customHeight="1" thickBot="1">
      <c r="B171" s="243" t="s">
        <v>1337</v>
      </c>
      <c r="J171" s="3212">
        <f>ROUNDDOWN(J170+M170+P170,0)</f>
        <v>1574575</v>
      </c>
      <c r="K171" s="3368"/>
      <c r="L171" s="3368"/>
      <c r="M171" s="3368"/>
      <c r="N171" s="3368"/>
      <c r="O171" s="3368"/>
      <c r="P171" s="3368"/>
      <c r="Q171" s="3213"/>
      <c r="V171" s="838"/>
      <c r="W171" s="3298"/>
      <c r="X171" s="3299"/>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6">
        <f>G146</f>
        <v>22451548.931046732</v>
      </c>
      <c r="K176" s="3369"/>
      <c r="L176" s="3337"/>
      <c r="N176" s="3370" t="s">
        <v>4611</v>
      </c>
      <c r="O176" s="3371"/>
      <c r="P176" s="3371"/>
      <c r="Q176" s="3372"/>
      <c r="S176" s="3378" t="s">
        <v>3103</v>
      </c>
      <c r="T176" s="3379"/>
      <c r="V176" s="836"/>
      <c r="W176" s="3243"/>
      <c r="X176" s="3244"/>
      <c r="AZ176" s="1655"/>
      <c r="BA176" s="1618">
        <v>176</v>
      </c>
    </row>
    <row r="177" spans="1:53" s="144" customFormat="1" ht="14.1" customHeight="1">
      <c r="B177" s="144" t="s">
        <v>252</v>
      </c>
      <c r="J177" s="3342">
        <f>'Part II-Sources of Funds'!$I$60-'Part II-Sources of Funds'!$I$44-'Part II-Sources of Funds'!$I$45-'Part II-Sources of Funds'!$I$51-'Part II-Sources of Funds'!$I$52</f>
        <v>2850000</v>
      </c>
      <c r="K177" s="3382"/>
      <c r="L177" s="3343"/>
      <c r="M177" s="1879"/>
      <c r="N177" s="3373"/>
      <c r="O177" s="3341"/>
      <c r="P177" s="3341"/>
      <c r="Q177" s="3374"/>
      <c r="S177" s="3380"/>
      <c r="T177" s="3381"/>
      <c r="V177" s="836"/>
      <c r="W177" s="3243"/>
      <c r="X177" s="3244"/>
      <c r="AZ177" s="1655"/>
      <c r="BA177" s="1618">
        <v>177</v>
      </c>
    </row>
    <row r="178" spans="1:53" s="144" customFormat="1" ht="14.1" customHeight="1">
      <c r="B178" s="144" t="s">
        <v>2059</v>
      </c>
      <c r="J178" s="3383">
        <f>+J176-J177</f>
        <v>19601548.931046732</v>
      </c>
      <c r="K178" s="3384"/>
      <c r="L178" s="3385"/>
      <c r="M178" s="1879"/>
      <c r="N178" s="3375"/>
      <c r="O178" s="3376"/>
      <c r="P178" s="3376"/>
      <c r="Q178" s="3377"/>
      <c r="S178" s="3380"/>
      <c r="T178" s="3381"/>
      <c r="V178" s="836"/>
      <c r="W178" s="3243"/>
      <c r="X178" s="3244"/>
      <c r="AZ178" s="1655"/>
      <c r="BA178" s="1618">
        <v>178</v>
      </c>
    </row>
    <row r="179" spans="1:53" s="144" customFormat="1" ht="14.1" customHeight="1" thickBot="1">
      <c r="B179" s="144" t="s">
        <v>1207</v>
      </c>
      <c r="J179" s="3180" t="str">
        <f>"/ 10"</f>
        <v>/ 10</v>
      </c>
      <c r="K179" s="3180"/>
      <c r="L179" s="3180"/>
      <c r="M179" s="223"/>
      <c r="N179" s="3391">
        <f>'Part II-Sources of Funds'!$I$44</f>
        <v>0</v>
      </c>
      <c r="O179" s="3392"/>
      <c r="P179" s="3392"/>
      <c r="Q179" s="3393"/>
      <c r="S179" s="328" t="s">
        <v>1546</v>
      </c>
      <c r="T179" s="329" t="s">
        <v>2644</v>
      </c>
      <c r="V179" s="836"/>
      <c r="W179" s="3243"/>
      <c r="X179" s="3244"/>
      <c r="AZ179" s="1655"/>
      <c r="BA179" s="1618">
        <v>179</v>
      </c>
    </row>
    <row r="180" spans="1:53" s="144" customFormat="1" ht="14.1" customHeight="1">
      <c r="B180" s="144" t="s">
        <v>1208</v>
      </c>
      <c r="J180" s="3345">
        <f>J178/10</f>
        <v>1960154.8931046731</v>
      </c>
      <c r="K180" s="3344"/>
      <c r="L180" s="3346"/>
      <c r="N180" s="368"/>
      <c r="O180" s="368"/>
      <c r="P180" s="368"/>
      <c r="Q180" s="368"/>
      <c r="R180" s="368"/>
      <c r="V180" s="836"/>
      <c r="W180" s="3243"/>
      <c r="X180" s="3244"/>
      <c r="AZ180" s="1655"/>
      <c r="BA180" s="1618">
        <v>180</v>
      </c>
    </row>
    <row r="181" spans="1:53" s="144" customFormat="1" ht="14.1" customHeight="1">
      <c r="M181" s="145"/>
      <c r="N181" s="3122" t="s">
        <v>1209</v>
      </c>
      <c r="O181" s="3122"/>
      <c r="Q181" s="3122" t="s">
        <v>1666</v>
      </c>
      <c r="R181" s="3122"/>
      <c r="V181" s="836"/>
      <c r="W181" s="3243"/>
      <c r="X181" s="3244"/>
      <c r="Z181" s="1729" t="s">
        <v>1641</v>
      </c>
      <c r="AZ181" s="1655"/>
      <c r="BA181" s="1618">
        <v>181</v>
      </c>
    </row>
    <row r="182" spans="1:53" s="144" customFormat="1" ht="14.1" customHeight="1" thickBot="1">
      <c r="B182" s="144" t="s">
        <v>1387</v>
      </c>
      <c r="J182" s="3386">
        <f>N182+Q182</f>
        <v>1.4500000000000002</v>
      </c>
      <c r="K182" s="3387"/>
      <c r="L182" s="3388"/>
      <c r="M182" s="248" t="s">
        <v>1210</v>
      </c>
      <c r="N182" s="3389">
        <v>0.9</v>
      </c>
      <c r="O182" s="3390"/>
      <c r="P182" s="248" t="s">
        <v>569</v>
      </c>
      <c r="Q182" s="3389">
        <v>0.55000000000000004</v>
      </c>
      <c r="R182" s="3390"/>
      <c r="V182" s="836"/>
      <c r="W182" s="3243"/>
      <c r="X182" s="3244"/>
      <c r="Z182" s="1730">
        <f>'DCA Underwriting Assumptions'!Q134</f>
        <v>0</v>
      </c>
      <c r="AZ182" s="1655"/>
      <c r="BA182" s="1618">
        <v>182</v>
      </c>
    </row>
    <row r="183" spans="1:53" s="144" customFormat="1" ht="14.1" customHeight="1" thickBot="1">
      <c r="B183" s="243" t="s">
        <v>1338</v>
      </c>
      <c r="J183" s="3212">
        <f>ROUNDDOWN(IF(J182=0,"",J180/J182),0)</f>
        <v>1351830</v>
      </c>
      <c r="K183" s="3368"/>
      <c r="L183" s="3213"/>
      <c r="M183" s="145"/>
      <c r="V183" s="836"/>
      <c r="W183" s="3243"/>
      <c r="X183" s="3244"/>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5">
        <v>1350000</v>
      </c>
      <c r="K187" s="3396"/>
      <c r="L187" s="3397"/>
      <c r="Q187" s="147" t="s">
        <v>4145</v>
      </c>
      <c r="R187" s="147"/>
      <c r="S187" s="3398" t="str">
        <f>'Part VIII Scoring Criteria'!$J$12</f>
        <v>Other Metro</v>
      </c>
      <c r="T187" s="3399"/>
      <c r="U187" s="1534" t="str">
        <f>IF(OR(S187="Atlanta Metro", "Other Metro"), "Metro", IF(S187="Rural","Rural",""))</f>
        <v/>
      </c>
      <c r="V187" s="836"/>
      <c r="W187" s="3243"/>
      <c r="X187" s="3244"/>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5">
        <v>1350000</v>
      </c>
      <c r="K189" s="3396"/>
      <c r="L189" s="3397"/>
      <c r="M189" s="3400" t="str">
        <f>IF(J187=0,"",IF(J189&gt;J187,"Request can't exceed Maximum - REVISE (Try Round Down)!",""))</f>
        <v/>
      </c>
      <c r="N189" s="3400"/>
      <c r="O189" s="3400"/>
      <c r="P189" s="3400"/>
      <c r="Q189" s="241" t="s">
        <v>4439</v>
      </c>
      <c r="R189" s="147"/>
      <c r="S189" s="3398" t="str">
        <f>'Part VIII Scoring Criteria'!$F$12</f>
        <v>New Affordability</v>
      </c>
      <c r="T189" s="3399"/>
      <c r="V189" s="836"/>
      <c r="W189" s="3243"/>
      <c r="X189" s="3244"/>
      <c r="AZ189" s="1651"/>
      <c r="BA189" s="1618">
        <v>189</v>
      </c>
    </row>
    <row r="190" spans="1:53" s="144" customFormat="1" ht="3" customHeight="1">
      <c r="J190" s="298"/>
      <c r="K190" s="298"/>
      <c r="L190" s="298"/>
      <c r="M190" s="3400"/>
      <c r="N190" s="3400"/>
      <c r="O190" s="3400"/>
      <c r="P190" s="3400"/>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1">
        <f>IF(J189="",0,+MIN(J187,J189))</f>
        <v>1350000</v>
      </c>
      <c r="K191" s="3402"/>
      <c r="L191" s="3403"/>
      <c r="M191" s="3400"/>
      <c r="N191" s="3400"/>
      <c r="O191" s="3400"/>
      <c r="P191" s="3400"/>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3"/>
      <c r="X191" s="3244"/>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4" t="s">
        <v>3144</v>
      </c>
      <c r="B195" s="3204"/>
      <c r="C195" s="3204"/>
      <c r="D195" s="3204"/>
      <c r="E195" s="3204"/>
      <c r="F195" s="3204"/>
      <c r="G195" s="3204"/>
      <c r="H195" s="3204"/>
      <c r="I195" s="3204"/>
      <c r="J195" s="3204"/>
      <c r="K195" s="3204"/>
      <c r="L195" s="3204"/>
      <c r="M195" s="3204"/>
      <c r="N195" s="3394"/>
      <c r="O195" s="3394"/>
      <c r="P195" s="3394"/>
      <c r="Q195" s="3394"/>
      <c r="R195" s="3394"/>
      <c r="S195" s="3394"/>
      <c r="T195" s="3394"/>
      <c r="V195" s="739"/>
      <c r="W195" s="3206" t="s">
        <v>2445</v>
      </c>
      <c r="X195" s="3206"/>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dimension ref="A1:R92"/>
  <sheetViews>
    <sheetView showGridLines="0" view="pageBreakPreview" topLeftCell="A55" zoomScale="60" zoomScaleNormal="100" workbookViewId="0">
      <selection activeCell="X43" sqref="X4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4" t="str">
        <f>CONCATENATE("PART THREE (B) -  OTHER COSTS","  -  ",'Part I-Project Identification'!$O$7," - ",'Part I-Project Identification'!$F$26,"  -  ",'Part I-Project Identification'!$F$27,"  -  ",'Part I-Project Identification'!$J$27,",  ","County")</f>
        <v>PART THREE (B) -  OTHER COSTS  -  2024-0 - Flats at Lake View II  -  Warner Robins  -  Houston,  County</v>
      </c>
      <c r="B1" s="3405"/>
      <c r="C1" s="3405"/>
      <c r="D1" s="3405"/>
      <c r="E1" s="3405"/>
      <c r="F1" s="3405"/>
      <c r="G1" s="3405"/>
      <c r="H1" s="3405"/>
      <c r="I1" s="709"/>
      <c r="J1" s="709"/>
      <c r="K1" s="709"/>
      <c r="L1" s="709"/>
      <c r="M1" s="709"/>
      <c r="N1" s="709"/>
      <c r="R1" s="2478">
        <v>1</v>
      </c>
    </row>
    <row r="2" spans="1:18" ht="9" customHeight="1">
      <c r="R2" s="2478">
        <v>2</v>
      </c>
    </row>
    <row r="3" spans="1:18" ht="57" customHeight="1">
      <c r="A3" s="3406" t="s">
        <v>3130</v>
      </c>
      <c r="B3" s="3407"/>
      <c r="C3" s="3407"/>
      <c r="D3" s="3407"/>
      <c r="E3" s="3407"/>
      <c r="F3" s="3407"/>
      <c r="G3" s="3407"/>
      <c r="H3" s="3408"/>
      <c r="R3" s="2478">
        <v>3</v>
      </c>
    </row>
    <row r="4" spans="1:18" ht="6" customHeight="1">
      <c r="R4" s="2478">
        <v>4</v>
      </c>
    </row>
    <row r="5" spans="1:18" ht="38.25" customHeight="1">
      <c r="A5" s="3409" t="s">
        <v>3193</v>
      </c>
      <c r="B5" s="3409"/>
      <c r="C5" s="3409"/>
      <c r="D5" s="3409"/>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0" t="str">
        <f>'Part III-A-Uses of Funds'!$C$15</f>
        <v>&lt;&lt; Enter description here; provide detail &amp; justification in tab Part III-b &gt;&gt;</v>
      </c>
      <c r="B9" s="3411"/>
      <c r="C9" s="3411"/>
      <c r="D9" s="3412"/>
      <c r="F9" s="3416"/>
      <c r="G9" s="713"/>
      <c r="H9" s="3416"/>
      <c r="R9" s="2479">
        <v>9</v>
      </c>
    </row>
    <row r="10" spans="1:18" s="712" customFormat="1" ht="41.25" customHeight="1">
      <c r="A10" s="3413"/>
      <c r="B10" s="3414"/>
      <c r="C10" s="3414"/>
      <c r="D10" s="3415"/>
      <c r="F10" s="3417"/>
      <c r="G10" s="713"/>
      <c r="H10" s="3417"/>
      <c r="R10" s="2478">
        <v>10</v>
      </c>
    </row>
    <row r="11" spans="1:18" s="712" customFormat="1" ht="4.5" customHeight="1">
      <c r="F11" s="3417"/>
      <c r="G11" s="713"/>
      <c r="H11" s="3417"/>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7"/>
      <c r="G12" s="713"/>
      <c r="H12" s="3417"/>
      <c r="R12" s="2478">
        <v>12</v>
      </c>
    </row>
    <row r="13" spans="1:18" s="712" customFormat="1" ht="6" customHeight="1">
      <c r="A13" s="713"/>
      <c r="B13" s="714"/>
      <c r="C13" s="713"/>
      <c r="D13" s="713"/>
      <c r="F13" s="3417"/>
      <c r="G13" s="715"/>
      <c r="H13" s="3417"/>
      <c r="R13" s="2478">
        <v>13</v>
      </c>
    </row>
    <row r="14" spans="1:18" s="712" customFormat="1" ht="41.25" customHeight="1">
      <c r="A14" s="3410" t="str">
        <f>'Part III-A-Uses of Funds'!$C$16</f>
        <v>&lt;&lt; Enter description here; provide detail &amp; justification in tab Part III-b &gt;&gt;</v>
      </c>
      <c r="B14" s="3411"/>
      <c r="C14" s="3411"/>
      <c r="D14" s="3412"/>
      <c r="F14" s="3417"/>
      <c r="G14" s="713"/>
      <c r="H14" s="3417"/>
      <c r="R14" s="2478">
        <v>14</v>
      </c>
    </row>
    <row r="15" spans="1:18" s="712" customFormat="1" ht="41.25" customHeight="1">
      <c r="A15" s="3413"/>
      <c r="B15" s="3414"/>
      <c r="C15" s="3414"/>
      <c r="D15" s="3415"/>
      <c r="F15" s="3417"/>
      <c r="G15" s="713"/>
      <c r="H15" s="3417"/>
      <c r="R15" s="2478">
        <v>15</v>
      </c>
    </row>
    <row r="16" spans="1:18" s="712" customFormat="1" ht="4.5" customHeight="1">
      <c r="F16" s="3417"/>
      <c r="G16" s="713"/>
      <c r="H16" s="3417"/>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7"/>
      <c r="G17" s="713"/>
      <c r="H17" s="3417"/>
      <c r="R17" s="2479">
        <v>17</v>
      </c>
    </row>
    <row r="18" spans="1:18" s="712" customFormat="1" ht="6" customHeight="1">
      <c r="A18" s="713"/>
      <c r="B18" s="714"/>
      <c r="C18" s="713"/>
      <c r="D18" s="713"/>
      <c r="F18" s="3417"/>
      <c r="G18" s="715"/>
      <c r="H18" s="3417"/>
      <c r="R18" s="2479">
        <v>18</v>
      </c>
    </row>
    <row r="19" spans="1:18" s="712" customFormat="1" ht="41.25" customHeight="1">
      <c r="A19" s="3410" t="str">
        <f>'Part III-A-Uses of Funds'!$C$17</f>
        <v>&lt;&lt; Enter description here; provide detail &amp; justification in tab Part III-b &gt;&gt;</v>
      </c>
      <c r="B19" s="3411"/>
      <c r="C19" s="3411"/>
      <c r="D19" s="3412"/>
      <c r="F19" s="3417"/>
      <c r="G19" s="713"/>
      <c r="H19" s="3417"/>
      <c r="R19" s="2478">
        <v>19</v>
      </c>
    </row>
    <row r="20" spans="1:18" s="712" customFormat="1" ht="41.25" customHeight="1">
      <c r="A20" s="3413"/>
      <c r="B20" s="3414"/>
      <c r="C20" s="3414"/>
      <c r="D20" s="3415"/>
      <c r="F20" s="3417"/>
      <c r="G20" s="713"/>
      <c r="H20" s="3417"/>
      <c r="R20" s="2478">
        <v>20</v>
      </c>
    </row>
    <row r="21" spans="1:18" s="712" customFormat="1" ht="4.5" customHeight="1">
      <c r="F21" s="3417"/>
      <c r="G21" s="713"/>
      <c r="H21" s="3417"/>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7"/>
      <c r="G22" s="713"/>
      <c r="H22" s="3417"/>
      <c r="R22" s="2478">
        <v>22</v>
      </c>
    </row>
    <row r="23" spans="1:18" s="712" customFormat="1" ht="6" customHeight="1">
      <c r="A23" s="713"/>
      <c r="B23" s="714"/>
      <c r="C23" s="713"/>
      <c r="D23" s="713"/>
      <c r="F23" s="3418"/>
      <c r="G23" s="715"/>
      <c r="H23" s="3418"/>
      <c r="R23" s="2478">
        <v>23</v>
      </c>
    </row>
    <row r="24" spans="1:18" s="712" customFormat="1" ht="15.75">
      <c r="A24" s="723" t="s">
        <v>3124</v>
      </c>
      <c r="B24" s="713"/>
      <c r="C24" s="713"/>
      <c r="D24" s="713"/>
      <c r="E24" s="713"/>
      <c r="F24" s="713"/>
      <c r="G24" s="713"/>
      <c r="R24" s="2478">
        <v>24</v>
      </c>
    </row>
    <row r="25" spans="1:18" s="712" customFormat="1" ht="41.25" customHeight="1">
      <c r="A25" s="3410" t="str">
        <f>'Part III-A-Uses of Funds'!$C$46</f>
        <v>&lt;&lt; Enter description here; provide detail &amp; justification in tab Part III-b &gt;&gt;</v>
      </c>
      <c r="B25" s="3411"/>
      <c r="C25" s="3411"/>
      <c r="D25" s="3412"/>
      <c r="E25" s="713"/>
      <c r="F25" s="3419"/>
      <c r="G25" s="713"/>
      <c r="H25" s="3419"/>
      <c r="R25" s="2479">
        <v>25</v>
      </c>
    </row>
    <row r="26" spans="1:18" s="712" customFormat="1" ht="41.25" customHeight="1">
      <c r="A26" s="3413"/>
      <c r="B26" s="3414"/>
      <c r="C26" s="3414"/>
      <c r="D26" s="3415"/>
      <c r="E26" s="713"/>
      <c r="F26" s="3420"/>
      <c r="G26" s="713"/>
      <c r="H26" s="3420"/>
      <c r="R26" s="2479">
        <v>26</v>
      </c>
    </row>
    <row r="27" spans="1:18" s="712" customFormat="1" ht="4.5" customHeight="1">
      <c r="A27" s="713"/>
      <c r="B27" s="713"/>
      <c r="C27" s="713"/>
      <c r="D27" s="713"/>
      <c r="E27" s="713"/>
      <c r="F27" s="3420"/>
      <c r="G27" s="713"/>
      <c r="H27" s="3420"/>
      <c r="R27" s="2479">
        <v>27</v>
      </c>
    </row>
    <row r="28" spans="1:18" s="712" customFormat="1" ht="25.5">
      <c r="A28" s="722" t="s">
        <v>3125</v>
      </c>
      <c r="B28" s="721">
        <f>'Part III-A-Uses of Funds'!$G$46</f>
        <v>0</v>
      </c>
      <c r="C28" s="722" t="s">
        <v>1660</v>
      </c>
      <c r="D28" s="721">
        <f>'Part III-A-Uses of Funds'!$J$46+'Part III-A-Uses of Funds'!$M$46+'Part III-A-Uses of Funds'!$P$46</f>
        <v>0</v>
      </c>
      <c r="E28" s="713"/>
      <c r="F28" s="3420"/>
      <c r="G28" s="713"/>
      <c r="H28" s="3420"/>
      <c r="R28" s="2478">
        <v>28</v>
      </c>
    </row>
    <row r="29" spans="1:18" s="712" customFormat="1" ht="6" customHeight="1">
      <c r="A29" s="713"/>
      <c r="B29" s="714"/>
      <c r="C29" s="713"/>
      <c r="D29" s="713"/>
      <c r="E29" s="713"/>
      <c r="F29" s="3421"/>
      <c r="G29" s="715"/>
      <c r="H29" s="3421"/>
      <c r="R29" s="2478">
        <v>29</v>
      </c>
    </row>
    <row r="30" spans="1:18" s="712" customFormat="1" ht="15.75">
      <c r="A30" s="723" t="s">
        <v>674</v>
      </c>
      <c r="B30" s="713"/>
      <c r="C30" s="713"/>
      <c r="D30" s="713"/>
      <c r="E30" s="713"/>
      <c r="F30" s="713"/>
      <c r="G30" s="713"/>
      <c r="R30" s="2478">
        <v>30</v>
      </c>
    </row>
    <row r="31" spans="1:18" s="712" customFormat="1" ht="41.25" customHeight="1">
      <c r="A31" s="3422" t="str">
        <f>'Part III-A-Uses of Funds'!$C$71</f>
        <v>&lt;&lt; Enter description here; provide detail &amp; justification in tab Part III-b &gt;&gt;</v>
      </c>
      <c r="B31" s="3423"/>
      <c r="C31" s="3423"/>
      <c r="D31" s="3424"/>
      <c r="E31" s="713"/>
      <c r="F31" s="3416"/>
      <c r="G31" s="713"/>
      <c r="H31" s="3416"/>
      <c r="R31" s="2478">
        <v>31</v>
      </c>
    </row>
    <row r="32" spans="1:18" s="712" customFormat="1" ht="41.25" customHeight="1">
      <c r="A32" s="3413"/>
      <c r="B32" s="3414"/>
      <c r="C32" s="3414"/>
      <c r="D32" s="3415"/>
      <c r="E32" s="713"/>
      <c r="F32" s="3417"/>
      <c r="G32" s="713"/>
      <c r="H32" s="3417"/>
      <c r="R32" s="2478">
        <v>32</v>
      </c>
    </row>
    <row r="33" spans="1:18" s="712" customFormat="1" ht="4.5" customHeight="1">
      <c r="A33" s="713"/>
      <c r="B33" s="713"/>
      <c r="C33" s="713"/>
      <c r="D33" s="713"/>
      <c r="E33" s="713"/>
      <c r="F33" s="3417"/>
      <c r="G33" s="713"/>
      <c r="H33" s="3417"/>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7"/>
      <c r="G34" s="713"/>
      <c r="H34" s="3417"/>
      <c r="R34" s="2479">
        <v>34</v>
      </c>
    </row>
    <row r="35" spans="1:18" s="712" customFormat="1" ht="6" customHeight="1">
      <c r="D35" s="713"/>
      <c r="E35" s="713"/>
      <c r="F35" s="3417"/>
      <c r="G35" s="715"/>
      <c r="H35" s="3417"/>
      <c r="R35" s="2479">
        <v>35</v>
      </c>
    </row>
    <row r="36" spans="1:18" s="712" customFormat="1" ht="41.25" customHeight="1">
      <c r="A36" s="3422" t="str">
        <f>'Part III-A-Uses of Funds'!$C$72</f>
        <v>&lt;&lt; Enter description here; provide detail &amp; justification in tab Part III-b &gt;&gt;</v>
      </c>
      <c r="B36" s="3423"/>
      <c r="C36" s="3423"/>
      <c r="D36" s="3424"/>
      <c r="E36" s="713"/>
      <c r="F36" s="3417"/>
      <c r="G36" s="713"/>
      <c r="H36" s="3417"/>
      <c r="R36" s="2479">
        <v>36</v>
      </c>
    </row>
    <row r="37" spans="1:18" s="712" customFormat="1" ht="41.25" customHeight="1">
      <c r="A37" s="3413"/>
      <c r="B37" s="3414"/>
      <c r="C37" s="3414"/>
      <c r="D37" s="3415"/>
      <c r="E37" s="713"/>
      <c r="F37" s="3417"/>
      <c r="G37" s="713"/>
      <c r="H37" s="3417"/>
      <c r="R37" s="2478">
        <v>37</v>
      </c>
    </row>
    <row r="38" spans="1:18" s="712" customFormat="1" ht="4.5" customHeight="1">
      <c r="A38" s="713"/>
      <c r="B38" s="713"/>
      <c r="C38" s="713"/>
      <c r="D38" s="713"/>
      <c r="E38" s="713"/>
      <c r="F38" s="3417"/>
      <c r="G38" s="713"/>
      <c r="H38" s="3417"/>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7"/>
      <c r="G39" s="713"/>
      <c r="H39" s="3417"/>
      <c r="R39" s="2478">
        <v>39</v>
      </c>
    </row>
    <row r="40" spans="1:18" s="712" customFormat="1" ht="6" customHeight="1">
      <c r="D40" s="713"/>
      <c r="E40" s="713"/>
      <c r="F40" s="3418"/>
      <c r="G40" s="715"/>
      <c r="H40" s="3418"/>
      <c r="R40" s="2478">
        <v>40</v>
      </c>
    </row>
    <row r="41" spans="1:18" s="712" customFormat="1" ht="15.75">
      <c r="A41" s="723" t="s">
        <v>448</v>
      </c>
      <c r="B41" s="713"/>
      <c r="C41" s="713"/>
      <c r="D41" s="713"/>
      <c r="E41" s="717"/>
      <c r="F41" s="717"/>
      <c r="G41" s="713"/>
      <c r="R41" s="2478">
        <v>41</v>
      </c>
    </row>
    <row r="42" spans="1:18" s="712" customFormat="1" ht="41.25" customHeight="1">
      <c r="A42" s="3422" t="str">
        <f>'Part III-A-Uses of Funds'!$C$85</f>
        <v>Owner Paid Design Fees</v>
      </c>
      <c r="B42" s="3423"/>
      <c r="C42" s="3423"/>
      <c r="D42" s="3424"/>
      <c r="F42" s="3419" t="s">
        <v>5145</v>
      </c>
      <c r="G42" s="713"/>
      <c r="H42" s="3419" t="s">
        <v>5144</v>
      </c>
      <c r="R42" s="2478">
        <v>42</v>
      </c>
    </row>
    <row r="43" spans="1:18" s="712" customFormat="1" ht="41.25" customHeight="1">
      <c r="A43" s="3413"/>
      <c r="B43" s="3414"/>
      <c r="C43" s="3414"/>
      <c r="D43" s="3415"/>
      <c r="E43" s="713"/>
      <c r="F43" s="3420"/>
      <c r="G43" s="713"/>
      <c r="H43" s="3420"/>
      <c r="R43" s="2479">
        <v>43</v>
      </c>
    </row>
    <row r="44" spans="1:18" s="712" customFormat="1" ht="4.5" customHeight="1">
      <c r="A44" s="713"/>
      <c r="B44" s="713"/>
      <c r="C44" s="713"/>
      <c r="D44" s="713"/>
      <c r="E44" s="713"/>
      <c r="F44" s="3420"/>
      <c r="G44" s="713"/>
      <c r="H44" s="3420"/>
      <c r="R44" s="2479">
        <v>44</v>
      </c>
    </row>
    <row r="45" spans="1:18" s="712" customFormat="1" ht="13.5" customHeight="1">
      <c r="A45" s="722" t="s">
        <v>3125</v>
      </c>
      <c r="B45" s="721">
        <f>'Part III-A-Uses of Funds'!$G$85</f>
        <v>10000</v>
      </c>
      <c r="C45" s="722" t="s">
        <v>1660</v>
      </c>
      <c r="D45" s="721">
        <f>'Part III-A-Uses of Funds'!$J$85+'Part III-A-Uses of Funds'!$M$85+'Part III-A-Uses of Funds'!$P$85</f>
        <v>10000</v>
      </c>
      <c r="E45" s="713"/>
      <c r="F45" s="3420"/>
      <c r="G45" s="713"/>
      <c r="H45" s="3420"/>
      <c r="R45" s="2479">
        <v>45</v>
      </c>
    </row>
    <row r="46" spans="1:18" s="712" customFormat="1" ht="6" customHeight="1">
      <c r="A46" s="713"/>
      <c r="B46" s="714"/>
      <c r="C46" s="713"/>
      <c r="D46" s="713"/>
      <c r="E46" s="713"/>
      <c r="F46" s="3421"/>
      <c r="G46" s="715"/>
      <c r="H46" s="3421"/>
      <c r="R46" s="2478">
        <v>46</v>
      </c>
    </row>
    <row r="47" spans="1:18" s="712" customFormat="1" ht="15.75">
      <c r="A47" s="723" t="s">
        <v>676</v>
      </c>
      <c r="B47" s="713"/>
      <c r="C47" s="713"/>
      <c r="D47" s="713"/>
      <c r="E47" s="713"/>
      <c r="F47" s="713"/>
      <c r="G47" s="713"/>
      <c r="R47" s="2478">
        <v>47</v>
      </c>
    </row>
    <row r="48" spans="1:18" s="712" customFormat="1" ht="41.25" customHeight="1">
      <c r="A48" s="3422" t="str">
        <f>'Part III-A-Uses of Funds'!$C$102</f>
        <v>&lt;&lt; Enter description here; provide detail &amp; justification in tab Part III-b &gt;&gt;</v>
      </c>
      <c r="B48" s="3423"/>
      <c r="C48" s="3423"/>
      <c r="D48" s="3424"/>
      <c r="F48" s="3419"/>
      <c r="G48" s="713"/>
      <c r="R48" s="2478">
        <v>48</v>
      </c>
    </row>
    <row r="49" spans="1:18" s="712" customFormat="1" ht="41.25" customHeight="1">
      <c r="A49" s="3413"/>
      <c r="B49" s="3414"/>
      <c r="C49" s="3414"/>
      <c r="D49" s="3415"/>
      <c r="E49" s="713"/>
      <c r="F49" s="3420"/>
      <c r="G49" s="713"/>
      <c r="R49" s="2478">
        <v>49</v>
      </c>
    </row>
    <row r="50" spans="1:18" s="712" customFormat="1" ht="3" customHeight="1">
      <c r="A50" s="713"/>
      <c r="B50" s="713"/>
      <c r="C50" s="713"/>
      <c r="D50" s="713"/>
      <c r="E50" s="713"/>
      <c r="F50" s="3420"/>
      <c r="G50" s="713"/>
      <c r="R50" s="2478">
        <v>50</v>
      </c>
    </row>
    <row r="51" spans="1:18" s="712" customFormat="1" ht="13.5" customHeight="1">
      <c r="A51" s="722" t="s">
        <v>3125</v>
      </c>
      <c r="B51" s="721">
        <f>'Part III-A-Uses of Funds'!$G$102</f>
        <v>0</v>
      </c>
      <c r="C51" s="716"/>
      <c r="D51" s="716"/>
      <c r="E51" s="713"/>
      <c r="F51" s="3420"/>
      <c r="G51" s="713"/>
      <c r="R51" s="2478">
        <v>51</v>
      </c>
    </row>
    <row r="52" spans="1:18" s="712" customFormat="1" ht="3.75" customHeight="1">
      <c r="A52" s="713"/>
      <c r="B52" s="713"/>
      <c r="C52" s="713"/>
      <c r="D52" s="713"/>
      <c r="E52" s="713"/>
      <c r="F52" s="3421"/>
      <c r="G52" s="715"/>
      <c r="R52" s="2479">
        <v>52</v>
      </c>
    </row>
    <row r="53" spans="1:18" s="712" customFormat="1" ht="15.75">
      <c r="A53" s="723" t="s">
        <v>3126</v>
      </c>
      <c r="B53" s="713"/>
      <c r="C53" s="713"/>
      <c r="D53" s="713"/>
      <c r="E53" s="713"/>
      <c r="F53" s="713"/>
      <c r="G53" s="713"/>
      <c r="R53" s="2479">
        <v>53</v>
      </c>
    </row>
    <row r="54" spans="1:18" s="712" customFormat="1" ht="41.25" customHeight="1">
      <c r="A54" s="3422" t="str">
        <f>'Part III-A-Uses of Funds'!$C$112</f>
        <v>&lt;&lt; Enter description here; provide detail &amp; justification in tab Part III-b &gt;&gt;</v>
      </c>
      <c r="B54" s="3423"/>
      <c r="C54" s="3423"/>
      <c r="D54" s="3424"/>
      <c r="F54" s="3416"/>
      <c r="G54" s="713"/>
      <c r="R54" s="2479">
        <v>54</v>
      </c>
    </row>
    <row r="55" spans="1:18" s="712" customFormat="1" ht="41.25" customHeight="1">
      <c r="A55" s="3413"/>
      <c r="B55" s="3414"/>
      <c r="C55" s="3414"/>
      <c r="D55" s="3415"/>
      <c r="E55" s="713"/>
      <c r="F55" s="3417"/>
      <c r="G55" s="713"/>
      <c r="R55" s="2478">
        <v>55</v>
      </c>
    </row>
    <row r="56" spans="1:18" s="712" customFormat="1" ht="3" customHeight="1">
      <c r="A56" s="713"/>
      <c r="B56" s="713"/>
      <c r="C56" s="713"/>
      <c r="D56" s="713"/>
      <c r="E56" s="713"/>
      <c r="F56" s="3417"/>
      <c r="G56" s="713"/>
      <c r="R56" s="2478">
        <v>56</v>
      </c>
    </row>
    <row r="57" spans="1:18" s="712" customFormat="1" ht="25.5">
      <c r="A57" s="722" t="s">
        <v>3125</v>
      </c>
      <c r="B57" s="721">
        <f>'Part III-A-Uses of Funds'!$G$112</f>
        <v>0</v>
      </c>
      <c r="C57" s="716"/>
      <c r="D57" s="716"/>
      <c r="E57" s="713"/>
      <c r="F57" s="3417"/>
      <c r="G57" s="713"/>
      <c r="R57" s="2478">
        <v>57</v>
      </c>
    </row>
    <row r="58" spans="1:18" s="712" customFormat="1" ht="3.75" customHeight="1">
      <c r="A58" s="711"/>
      <c r="B58" s="711"/>
      <c r="C58" s="711"/>
      <c r="D58" s="711"/>
      <c r="E58" s="711"/>
      <c r="F58" s="3417"/>
      <c r="G58" s="715"/>
      <c r="R58" s="2478">
        <v>58</v>
      </c>
    </row>
    <row r="59" spans="1:18" s="712" customFormat="1" ht="41.25" customHeight="1">
      <c r="A59" s="3422" t="str">
        <f>'Part III-A-Uses of Funds'!$C$113</f>
        <v>&lt;&lt; Enter description here; provide detail &amp; justification in tab Part III-b &gt;&gt;</v>
      </c>
      <c r="B59" s="3423"/>
      <c r="C59" s="3423"/>
      <c r="D59" s="3424"/>
      <c r="F59" s="3417"/>
      <c r="G59" s="713"/>
      <c r="R59" s="2478">
        <v>59</v>
      </c>
    </row>
    <row r="60" spans="1:18" s="712" customFormat="1" ht="41.25" customHeight="1">
      <c r="A60" s="3413"/>
      <c r="B60" s="3414"/>
      <c r="C60" s="3414"/>
      <c r="D60" s="3415"/>
      <c r="E60" s="713"/>
      <c r="F60" s="3417"/>
      <c r="G60" s="713"/>
      <c r="R60" s="2478">
        <v>60</v>
      </c>
    </row>
    <row r="61" spans="1:18" s="712" customFormat="1" ht="3" customHeight="1">
      <c r="A61" s="713"/>
      <c r="B61" s="713"/>
      <c r="C61" s="713"/>
      <c r="D61" s="713"/>
      <c r="E61" s="713"/>
      <c r="F61" s="3417"/>
      <c r="G61" s="713"/>
      <c r="R61" s="2479">
        <v>61</v>
      </c>
    </row>
    <row r="62" spans="1:18" s="712" customFormat="1" ht="25.5">
      <c r="A62" s="722" t="s">
        <v>3125</v>
      </c>
      <c r="B62" s="721">
        <f>'Part III-A-Uses of Funds'!$G$113</f>
        <v>0</v>
      </c>
      <c r="C62" s="716"/>
      <c r="D62" s="716"/>
      <c r="E62" s="713"/>
      <c r="F62" s="3417"/>
      <c r="G62" s="713"/>
      <c r="R62" s="2479">
        <v>62</v>
      </c>
    </row>
    <row r="63" spans="1:18" s="712" customFormat="1" ht="3.75" customHeight="1">
      <c r="A63" s="711"/>
      <c r="B63" s="711"/>
      <c r="C63" s="711"/>
      <c r="D63" s="711"/>
      <c r="E63" s="711"/>
      <c r="F63" s="3418"/>
      <c r="G63" s="715"/>
      <c r="R63" s="2479">
        <v>63</v>
      </c>
    </row>
    <row r="64" spans="1:18" s="712" customFormat="1" ht="15.75">
      <c r="A64" s="723" t="s">
        <v>3127</v>
      </c>
      <c r="B64" s="713"/>
      <c r="C64" s="713"/>
      <c r="D64" s="713"/>
      <c r="E64" s="713"/>
      <c r="F64" s="713"/>
      <c r="G64" s="713"/>
      <c r="R64" s="2478">
        <v>64</v>
      </c>
    </row>
    <row r="65" spans="1:18" s="712" customFormat="1" ht="41.25" customHeight="1">
      <c r="A65" s="3422" t="str">
        <f>'Part III-A-Uses of Funds'!$C$119</f>
        <v>&lt;&lt; Enter description here; provide detail &amp; justification in tab Part III-b &gt;&gt;</v>
      </c>
      <c r="B65" s="3423"/>
      <c r="C65" s="3423"/>
      <c r="D65" s="3424"/>
      <c r="F65" s="3419"/>
      <c r="G65" s="713"/>
      <c r="R65" s="2478">
        <v>65</v>
      </c>
    </row>
    <row r="66" spans="1:18" s="712" customFormat="1" ht="41.25" customHeight="1">
      <c r="A66" s="3413"/>
      <c r="B66" s="3414"/>
      <c r="C66" s="3414"/>
      <c r="D66" s="3415"/>
      <c r="E66" s="713"/>
      <c r="F66" s="3420"/>
      <c r="G66" s="713"/>
      <c r="R66" s="2478">
        <v>66</v>
      </c>
    </row>
    <row r="67" spans="1:18" s="712" customFormat="1" ht="3" customHeight="1">
      <c r="A67" s="713"/>
      <c r="B67" s="713"/>
      <c r="C67" s="713"/>
      <c r="D67" s="713"/>
      <c r="E67" s="713"/>
      <c r="F67" s="3420"/>
      <c r="G67" s="713"/>
      <c r="R67" s="2478">
        <v>67</v>
      </c>
    </row>
    <row r="68" spans="1:18" s="712" customFormat="1" ht="25.5">
      <c r="A68" s="722" t="s">
        <v>3125</v>
      </c>
      <c r="B68" s="721">
        <f>'Part III-A-Uses of Funds'!$G$119</f>
        <v>0</v>
      </c>
      <c r="C68" s="716"/>
      <c r="D68" s="716"/>
      <c r="E68" s="713"/>
      <c r="F68" s="3420"/>
      <c r="G68" s="713"/>
      <c r="R68" s="2478">
        <v>68</v>
      </c>
    </row>
    <row r="69" spans="1:18" s="712" customFormat="1" ht="3.75" customHeight="1">
      <c r="A69" s="713"/>
      <c r="B69" s="714"/>
      <c r="C69" s="713"/>
      <c r="D69" s="713"/>
      <c r="E69" s="713"/>
      <c r="F69" s="3421"/>
      <c r="G69" s="715"/>
      <c r="R69" s="2478">
        <v>69</v>
      </c>
    </row>
    <row r="70" spans="1:18" s="712" customFormat="1" ht="15.75">
      <c r="A70" s="723" t="s">
        <v>1229</v>
      </c>
      <c r="B70" s="713"/>
      <c r="C70" s="713"/>
      <c r="D70" s="713"/>
      <c r="E70" s="713"/>
      <c r="F70" s="713"/>
      <c r="G70" s="713"/>
      <c r="R70" s="2479">
        <v>70</v>
      </c>
    </row>
    <row r="71" spans="1:18" s="712" customFormat="1" ht="41.25" customHeight="1">
      <c r="A71" s="3422" t="str">
        <f>'Part III-A-Uses of Funds'!$C$134</f>
        <v>&lt;&lt; Enter description here; provide detail &amp; justification in tab Part III-b &gt;&gt;</v>
      </c>
      <c r="B71" s="3423"/>
      <c r="C71" s="3423"/>
      <c r="D71" s="3424"/>
      <c r="F71" s="3419"/>
      <c r="G71" s="713"/>
      <c r="H71" s="3419"/>
      <c r="R71" s="2479">
        <v>71</v>
      </c>
    </row>
    <row r="72" spans="1:18" s="712" customFormat="1" ht="41.25" customHeight="1">
      <c r="A72" s="3413"/>
      <c r="B72" s="3414"/>
      <c r="C72" s="3414"/>
      <c r="D72" s="3415"/>
      <c r="E72" s="713"/>
      <c r="F72" s="3420"/>
      <c r="G72" s="713"/>
      <c r="H72" s="3420"/>
      <c r="R72" s="2479">
        <v>72</v>
      </c>
    </row>
    <row r="73" spans="1:18" s="712" customFormat="1" ht="4.5" customHeight="1">
      <c r="A73" s="713"/>
      <c r="B73" s="713"/>
      <c r="C73" s="713"/>
      <c r="D73" s="713"/>
      <c r="E73" s="713"/>
      <c r="F73" s="3420"/>
      <c r="G73" s="713"/>
      <c r="H73" s="3420"/>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20"/>
      <c r="G74" s="713"/>
      <c r="H74" s="3420"/>
      <c r="R74" s="2478">
        <v>74</v>
      </c>
    </row>
    <row r="75" spans="1:18" s="712" customFormat="1" ht="6" customHeight="1">
      <c r="A75" s="713"/>
      <c r="B75" s="714"/>
      <c r="C75" s="713"/>
      <c r="D75" s="713"/>
      <c r="E75" s="713"/>
      <c r="F75" s="3421"/>
      <c r="G75" s="715"/>
      <c r="H75" s="3421"/>
      <c r="R75" s="2478">
        <v>75</v>
      </c>
    </row>
    <row r="76" spans="1:18" s="712" customFormat="1" ht="15.75">
      <c r="A76" s="723" t="s">
        <v>3128</v>
      </c>
      <c r="B76" s="714"/>
      <c r="C76" s="713"/>
      <c r="D76" s="713"/>
      <c r="E76" s="713"/>
      <c r="F76" s="713"/>
      <c r="G76" s="715"/>
      <c r="R76" s="2478">
        <v>76</v>
      </c>
    </row>
    <row r="77" spans="1:18" s="712" customFormat="1" ht="41.25" customHeight="1">
      <c r="A77" s="3422" t="str">
        <f>'Part III-A-Uses of Funds'!$C$143</f>
        <v>&lt;&lt; Enter description here; provide detail &amp; justification in tab Part III-b &gt;&gt;</v>
      </c>
      <c r="B77" s="3423"/>
      <c r="C77" s="3423"/>
      <c r="D77" s="3424"/>
      <c r="F77" s="3419"/>
      <c r="G77" s="713"/>
      <c r="H77" s="3419"/>
      <c r="R77" s="2478">
        <v>77</v>
      </c>
    </row>
    <row r="78" spans="1:18" s="712" customFormat="1" ht="41.25" customHeight="1">
      <c r="A78" s="3413"/>
      <c r="B78" s="3414"/>
      <c r="C78" s="3414"/>
      <c r="D78" s="3415"/>
      <c r="E78" s="713"/>
      <c r="F78" s="3420"/>
      <c r="G78" s="713"/>
      <c r="H78" s="3420"/>
      <c r="R78" s="2478">
        <v>78</v>
      </c>
    </row>
    <row r="79" spans="1:18" s="712" customFormat="1" ht="4.5" customHeight="1">
      <c r="A79" s="713"/>
      <c r="B79" s="713"/>
      <c r="C79" s="713"/>
      <c r="D79" s="713"/>
      <c r="E79" s="713"/>
      <c r="F79" s="3420"/>
      <c r="G79" s="713"/>
      <c r="H79" s="342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20"/>
      <c r="G80" s="713"/>
      <c r="H80" s="3420"/>
      <c r="R80" s="2479">
        <v>80</v>
      </c>
    </row>
    <row r="81" spans="4:18" s="712" customFormat="1" ht="6" customHeight="1">
      <c r="D81" s="719"/>
      <c r="E81" s="720"/>
      <c r="F81" s="3421"/>
      <c r="G81" s="715"/>
      <c r="H81" s="342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75" bottom="0.5" header="0.3" footer="0.3"/>
  <pageSetup scale="81" fitToHeight="0" orientation="landscape" r:id="rId1"/>
  <headerFooter>
    <oddHeader>&amp;LGeorgia Department of Community Affairs&amp;C2024 Funding Application&amp;RHousing Finance and Development Division</oddHeader>
    <oddFooter>&amp;L&amp;G  &amp;F&amp;C&amp;A&amp;R&amp;P of &amp;N</oddFooter>
  </headerFooter>
  <rowBreaks count="2" manualBreakCount="2">
    <brk id="29" max="16383" man="1"/>
    <brk id="52"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dimension ref="A1:AA47"/>
  <sheetViews>
    <sheetView showGridLines="0" view="pageBreakPreview" zoomScale="60" zoomScaleNormal="100" workbookViewId="0">
      <selection activeCell="X43" sqref="X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1" t="str">
        <f>CONCATENATE("PART FOUR - UTILITY ALLOWANCES","  -  ",'Part I-Project Identification'!$O$7," ",'Part I-Project Identification'!$F$26,", ",'Part I-Project Identification'!F27,", ",'Part I-Project Identification'!J27," County")</f>
        <v>PART FOUR - UTILITY ALLOWANCES  -  2024-0 Flats at Lake View II, Warner Robins, Houston County</v>
      </c>
      <c r="B1" s="3432"/>
      <c r="C1" s="3432"/>
      <c r="D1" s="3432"/>
      <c r="E1" s="3432"/>
      <c r="F1" s="3432"/>
      <c r="G1" s="3432"/>
      <c r="H1" s="3432"/>
      <c r="I1" s="3432"/>
      <c r="J1" s="3432"/>
      <c r="K1" s="3432"/>
      <c r="L1" s="3432"/>
      <c r="M1" s="3432"/>
      <c r="N1" s="4"/>
      <c r="O1" s="4"/>
      <c r="P1" s="4"/>
      <c r="Q1" s="4"/>
      <c r="AA1" s="2480">
        <v>1</v>
      </c>
    </row>
    <row r="2" spans="1:27" s="6" customFormat="1" ht="7.5" customHeight="1">
      <c r="AA2" s="2480">
        <v>2</v>
      </c>
    </row>
    <row r="3" spans="1:27" s="6" customFormat="1" ht="12.75" customHeight="1">
      <c r="B3" s="3433" t="str">
        <f>'Part I-Project Identification'!$A$6</f>
        <v>2024 May 7</v>
      </c>
      <c r="C3" s="3433"/>
      <c r="D3" s="3433"/>
      <c r="E3" s="3433"/>
      <c r="F3" s="4" t="s">
        <v>4631</v>
      </c>
      <c r="I3" s="3434" t="s">
        <v>1136</v>
      </c>
      <c r="J3" s="3435"/>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6" t="s">
        <v>5146</v>
      </c>
      <c r="J7" s="3437"/>
      <c r="K7" s="3437"/>
      <c r="L7" s="3437"/>
      <c r="M7" s="3438"/>
      <c r="O7" s="826"/>
      <c r="P7" s="826"/>
      <c r="Q7" s="826"/>
      <c r="R7" s="826"/>
      <c r="S7" s="826"/>
      <c r="T7" s="826"/>
      <c r="U7" s="826"/>
      <c r="V7" s="392"/>
      <c r="W7" s="392"/>
      <c r="X7" s="392"/>
      <c r="Y7" s="392"/>
      <c r="AA7" s="2480">
        <v>7</v>
      </c>
    </row>
    <row r="8" spans="1:27" s="6" customFormat="1" ht="13.35" customHeight="1">
      <c r="A8" s="10"/>
      <c r="F8" s="1" t="s">
        <v>592</v>
      </c>
      <c r="G8" s="1"/>
      <c r="H8" s="26"/>
      <c r="I8" s="3439">
        <v>45292</v>
      </c>
      <c r="J8" s="3440"/>
      <c r="K8" s="5" t="s">
        <v>504</v>
      </c>
      <c r="L8" s="3441" t="s">
        <v>4189</v>
      </c>
      <c r="M8" s="3442"/>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5" t="s">
        <v>566</v>
      </c>
      <c r="G10" s="3445"/>
      <c r="I10" s="3445" t="s">
        <v>193</v>
      </c>
      <c r="J10" s="3445"/>
      <c r="K10" s="3445"/>
      <c r="L10" s="3445"/>
      <c r="M10" s="3445"/>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3" t="s">
        <v>1489</v>
      </c>
      <c r="E12" s="3444"/>
      <c r="F12" s="207" t="s">
        <v>415</v>
      </c>
      <c r="G12" s="207"/>
      <c r="H12" s="791"/>
      <c r="I12" s="1203"/>
      <c r="J12" s="1203">
        <v>4</v>
      </c>
      <c r="K12" s="1203">
        <v>5</v>
      </c>
      <c r="L12" s="1203">
        <v>7</v>
      </c>
      <c r="M12" s="1203">
        <v>8</v>
      </c>
      <c r="O12" s="826"/>
      <c r="P12" s="826"/>
      <c r="Q12" s="826"/>
      <c r="R12" s="826"/>
      <c r="S12" s="826"/>
      <c r="T12" s="826"/>
      <c r="U12" s="826"/>
      <c r="AA12" s="2480">
        <v>12</v>
      </c>
    </row>
    <row r="13" spans="1:27" s="6" customFormat="1" ht="12" customHeight="1">
      <c r="B13" s="1210" t="s">
        <v>1490</v>
      </c>
      <c r="C13" s="1211"/>
      <c r="D13" s="3426" t="s">
        <v>1489</v>
      </c>
      <c r="E13" s="3427"/>
      <c r="F13" s="208" t="s">
        <v>415</v>
      </c>
      <c r="G13" s="208"/>
      <c r="H13" s="790"/>
      <c r="I13" s="1204"/>
      <c r="J13" s="1204">
        <v>7</v>
      </c>
      <c r="K13" s="1204">
        <v>10</v>
      </c>
      <c r="L13" s="1205">
        <v>12</v>
      </c>
      <c r="M13" s="1205">
        <v>15</v>
      </c>
      <c r="O13" s="3425" t="s">
        <v>3192</v>
      </c>
      <c r="P13" s="3425"/>
      <c r="Q13" s="3425"/>
      <c r="AA13" s="2480">
        <v>13</v>
      </c>
    </row>
    <row r="14" spans="1:27" s="6" customFormat="1" ht="12" customHeight="1">
      <c r="B14" s="1212" t="s">
        <v>1491</v>
      </c>
      <c r="C14" s="1213"/>
      <c r="D14" s="3426" t="s">
        <v>1489</v>
      </c>
      <c r="E14" s="3427"/>
      <c r="F14" s="208" t="s">
        <v>415</v>
      </c>
      <c r="G14" s="208"/>
      <c r="H14" s="203"/>
      <c r="I14" s="1204"/>
      <c r="J14" s="1204">
        <v>14</v>
      </c>
      <c r="K14" s="1204">
        <v>19</v>
      </c>
      <c r="L14" s="1205">
        <v>24</v>
      </c>
      <c r="M14" s="1205">
        <v>29</v>
      </c>
      <c r="O14" s="3425"/>
      <c r="P14" s="3425"/>
      <c r="Q14" s="3425"/>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v>20</v>
      </c>
      <c r="O15" s="3425"/>
      <c r="P15" s="3425"/>
      <c r="Q15" s="3425"/>
      <c r="AA15" s="2480">
        <v>15</v>
      </c>
    </row>
    <row r="16" spans="1:27" s="6" customFormat="1" ht="12" customHeight="1">
      <c r="B16" s="1216" t="s">
        <v>3186</v>
      </c>
      <c r="C16" s="1211"/>
      <c r="D16" s="1210" t="s">
        <v>1489</v>
      </c>
      <c r="E16" s="788"/>
      <c r="F16" s="208"/>
      <c r="G16" s="208"/>
      <c r="H16" s="790"/>
      <c r="I16" s="1204"/>
      <c r="J16" s="1204"/>
      <c r="K16" s="1204"/>
      <c r="L16" s="1205"/>
      <c r="M16" s="1205"/>
      <c r="O16" s="3425"/>
      <c r="P16" s="3425"/>
      <c r="Q16" s="3425"/>
      <c r="AA16" s="2480">
        <v>16</v>
      </c>
    </row>
    <row r="17" spans="1:27" s="6" customFormat="1" ht="12" customHeight="1">
      <c r="B17" s="1216" t="s">
        <v>3187</v>
      </c>
      <c r="C17" s="1211"/>
      <c r="D17" s="1210" t="s">
        <v>1489</v>
      </c>
      <c r="E17" s="788"/>
      <c r="F17" s="208"/>
      <c r="G17" s="208"/>
      <c r="H17" s="790"/>
      <c r="I17" s="1204"/>
      <c r="J17" s="1204"/>
      <c r="K17" s="1204"/>
      <c r="L17" s="1205"/>
      <c r="M17" s="1205"/>
      <c r="O17" s="3425"/>
      <c r="P17" s="3425"/>
      <c r="Q17" s="3425"/>
      <c r="AA17" s="2480">
        <v>17</v>
      </c>
    </row>
    <row r="18" spans="1:27" s="6" customFormat="1" ht="12" customHeight="1">
      <c r="B18" s="1217" t="s">
        <v>3188</v>
      </c>
      <c r="C18" s="1213"/>
      <c r="D18" s="1212" t="s">
        <v>1489</v>
      </c>
      <c r="E18" s="788"/>
      <c r="F18" s="208" t="s">
        <v>415</v>
      </c>
      <c r="G18" s="208"/>
      <c r="H18" s="203"/>
      <c r="I18" s="1204"/>
      <c r="J18" s="1204">
        <v>22</v>
      </c>
      <c r="K18" s="1204">
        <v>28</v>
      </c>
      <c r="L18" s="1205">
        <v>34</v>
      </c>
      <c r="M18" s="1205">
        <v>43</v>
      </c>
      <c r="O18" s="3425"/>
      <c r="P18" s="3425"/>
      <c r="Q18" s="3425"/>
      <c r="AA18" s="2480">
        <v>18</v>
      </c>
    </row>
    <row r="19" spans="1:27" s="6" customFormat="1" ht="12" customHeight="1">
      <c r="B19" s="1214" t="s">
        <v>1290</v>
      </c>
      <c r="C19" s="1215"/>
      <c r="D19" s="1220" t="s">
        <v>2992</v>
      </c>
      <c r="E19" s="1202" t="s">
        <v>2641</v>
      </c>
      <c r="F19" s="208" t="s">
        <v>415</v>
      </c>
      <c r="G19" s="208"/>
      <c r="H19" s="789"/>
      <c r="I19" s="1204"/>
      <c r="J19" s="1204">
        <f>22+24</f>
        <v>46</v>
      </c>
      <c r="K19" s="1204">
        <f>28+30</f>
        <v>58</v>
      </c>
      <c r="L19" s="1205">
        <f>34+37</f>
        <v>71</v>
      </c>
      <c r="M19" s="1205">
        <f>41+44</f>
        <v>85</v>
      </c>
      <c r="O19" s="3425"/>
      <c r="P19" s="3425"/>
      <c r="Q19" s="3425"/>
      <c r="AA19" s="2480">
        <v>19</v>
      </c>
    </row>
    <row r="20" spans="1:27" s="6" customFormat="1" ht="12" customHeight="1">
      <c r="B20" s="1218" t="s">
        <v>1710</v>
      </c>
      <c r="C20" s="1219"/>
      <c r="D20" s="205"/>
      <c r="E20" s="187"/>
      <c r="F20" s="208"/>
      <c r="G20" s="208" t="s">
        <v>415</v>
      </c>
      <c r="H20" s="790"/>
      <c r="I20" s="1204"/>
      <c r="J20" s="1204"/>
      <c r="K20" s="1204"/>
      <c r="L20" s="1205"/>
      <c r="M20" s="1205"/>
      <c r="O20" s="3425"/>
      <c r="P20" s="3425"/>
      <c r="Q20" s="3425"/>
      <c r="AA20" s="2480">
        <v>20</v>
      </c>
    </row>
    <row r="21" spans="1:27" s="6" customFormat="1" ht="12" customHeight="1">
      <c r="B21" s="1218" t="s">
        <v>689</v>
      </c>
      <c r="C21" s="3428"/>
      <c r="D21" s="3429"/>
      <c r="E21" s="3430"/>
      <c r="F21" s="209"/>
      <c r="G21" s="209"/>
      <c r="H21" s="792"/>
      <c r="I21" s="1206"/>
      <c r="J21" s="1206"/>
      <c r="K21" s="1206"/>
      <c r="L21" s="1207"/>
      <c r="M21" s="1207"/>
      <c r="O21" s="3425"/>
      <c r="P21" s="3425"/>
      <c r="Q21" s="3425"/>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103</v>
      </c>
      <c r="K22" s="119">
        <f>IF(SUM(K12:K21)=0,0,IF(OR($D12="&lt;&lt;Select Fuel &gt;&gt;",$D13="&lt;&lt;Select Fuel &gt;&gt;",$D14="&lt;&lt;Select Fuel &gt;&gt;"),"Select Fuel",IF($E19="&lt;Select&gt;","Submeter?",SUM(K12:K21))))</f>
        <v>133</v>
      </c>
      <c r="L22" s="119">
        <f>IF(SUM(L12:L21)=0,0,IF(OR($D12="&lt;&lt;Select Fuel &gt;&gt;",$D13="&lt;&lt;Select Fuel &gt;&gt;",$D14="&lt;&lt;Select Fuel &gt;&gt;"),"Select Fuel",IF($E19="&lt;Select&gt;","Submeter?",SUM(L12:L21))))</f>
        <v>165</v>
      </c>
      <c r="M22" s="119">
        <f>IF(SUM(M12:M21)=0,0,IF(OR($D12="&lt;&lt;Select Fuel &gt;&gt;",$D13="&lt;&lt;Select Fuel &gt;&gt;",$D14="&lt;&lt;Select Fuel &gt;&gt;"),"Select Fuel",IF($E19="&lt;Select&gt;","Submeter?",SUM(M12:M21))))</f>
        <v>200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6"/>
      <c r="J24" s="3437"/>
      <c r="K24" s="3437"/>
      <c r="L24" s="3437"/>
      <c r="M24" s="3438"/>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9"/>
      <c r="J25" s="3440"/>
      <c r="K25" s="5" t="s">
        <v>504</v>
      </c>
      <c r="L25" s="3441"/>
      <c r="M25" s="3442"/>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5" t="s">
        <v>566</v>
      </c>
      <c r="G27" s="3445"/>
      <c r="I27" s="3445" t="s">
        <v>193</v>
      </c>
      <c r="J27" s="3445"/>
      <c r="K27" s="3445"/>
      <c r="L27" s="3445"/>
      <c r="M27" s="3445"/>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3" t="s">
        <v>1684</v>
      </c>
      <c r="E29" s="3444"/>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6" t="s">
        <v>1684</v>
      </c>
      <c r="E30" s="3427"/>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6" t="s">
        <v>1684</v>
      </c>
      <c r="E31" s="3427"/>
      <c r="F31" s="208"/>
      <c r="G31" s="208"/>
      <c r="H31" s="203"/>
      <c r="I31" s="1204"/>
      <c r="J31" s="1204"/>
      <c r="K31" s="1204"/>
      <c r="L31" s="1205"/>
      <c r="M31" s="1205"/>
      <c r="O31" s="3425" t="s">
        <v>3192</v>
      </c>
      <c r="P31" s="3425"/>
      <c r="Q31" s="3425"/>
      <c r="AA31" s="2480">
        <v>31</v>
      </c>
    </row>
    <row r="32" spans="1:27" s="6" customFormat="1" ht="12" customHeight="1">
      <c r="B32" s="1214" t="s">
        <v>439</v>
      </c>
      <c r="C32" s="1215"/>
      <c r="D32" s="1214" t="s">
        <v>1489</v>
      </c>
      <c r="E32" s="204"/>
      <c r="F32" s="208"/>
      <c r="G32" s="208"/>
      <c r="H32" s="789"/>
      <c r="I32" s="1204"/>
      <c r="J32" s="1204"/>
      <c r="K32" s="1204"/>
      <c r="L32" s="1205"/>
      <c r="M32" s="1205"/>
      <c r="O32" s="3425"/>
      <c r="P32" s="3425"/>
      <c r="Q32" s="3425"/>
      <c r="AA32" s="2480">
        <v>32</v>
      </c>
    </row>
    <row r="33" spans="1:27" s="6" customFormat="1" ht="12" customHeight="1">
      <c r="B33" s="1216" t="s">
        <v>3186</v>
      </c>
      <c r="C33" s="1211"/>
      <c r="D33" s="1210" t="s">
        <v>1489</v>
      </c>
      <c r="E33" s="788"/>
      <c r="F33" s="208"/>
      <c r="G33" s="208"/>
      <c r="H33" s="790"/>
      <c r="I33" s="1204"/>
      <c r="J33" s="1204"/>
      <c r="K33" s="1204"/>
      <c r="L33" s="1205"/>
      <c r="M33" s="1205"/>
      <c r="O33" s="3425"/>
      <c r="P33" s="3425"/>
      <c r="Q33" s="3425"/>
      <c r="AA33" s="2480">
        <v>33</v>
      </c>
    </row>
    <row r="34" spans="1:27" s="6" customFormat="1" ht="12" customHeight="1">
      <c r="B34" s="1216" t="s">
        <v>3187</v>
      </c>
      <c r="C34" s="1211"/>
      <c r="D34" s="1210" t="s">
        <v>1489</v>
      </c>
      <c r="E34" s="788"/>
      <c r="F34" s="208"/>
      <c r="G34" s="208"/>
      <c r="H34" s="790"/>
      <c r="I34" s="1204"/>
      <c r="J34" s="1204"/>
      <c r="K34" s="1204"/>
      <c r="L34" s="1205"/>
      <c r="M34" s="1205"/>
      <c r="O34" s="3425"/>
      <c r="P34" s="3425"/>
      <c r="Q34" s="3425"/>
      <c r="AA34" s="2480">
        <v>34</v>
      </c>
    </row>
    <row r="35" spans="1:27" s="6" customFormat="1" ht="12" customHeight="1">
      <c r="B35" s="1217" t="s">
        <v>3188</v>
      </c>
      <c r="C35" s="1213"/>
      <c r="D35" s="1212" t="s">
        <v>1489</v>
      </c>
      <c r="E35" s="788"/>
      <c r="F35" s="208"/>
      <c r="G35" s="208"/>
      <c r="H35" s="203"/>
      <c r="I35" s="1204"/>
      <c r="J35" s="1204"/>
      <c r="K35" s="1204"/>
      <c r="L35" s="1205"/>
      <c r="M35" s="1205"/>
      <c r="O35" s="3425"/>
      <c r="P35" s="3425"/>
      <c r="Q35" s="3425"/>
      <c r="AA35" s="2480">
        <v>35</v>
      </c>
    </row>
    <row r="36" spans="1:27" s="6" customFormat="1" ht="12" customHeight="1">
      <c r="B36" s="1214" t="s">
        <v>1290</v>
      </c>
      <c r="C36" s="1215"/>
      <c r="D36" s="1220" t="s">
        <v>2992</v>
      </c>
      <c r="E36" s="1202" t="s">
        <v>194</v>
      </c>
      <c r="F36" s="208"/>
      <c r="G36" s="208"/>
      <c r="H36" s="789"/>
      <c r="I36" s="1204"/>
      <c r="J36" s="1204"/>
      <c r="K36" s="1204"/>
      <c r="L36" s="1205"/>
      <c r="M36" s="1205"/>
      <c r="O36" s="3425"/>
      <c r="P36" s="3425"/>
      <c r="Q36" s="3425"/>
      <c r="AA36" s="2480">
        <v>36</v>
      </c>
    </row>
    <row r="37" spans="1:27" s="6" customFormat="1" ht="12" customHeight="1">
      <c r="B37" s="1218" t="s">
        <v>1710</v>
      </c>
      <c r="C37" s="1219"/>
      <c r="D37" s="205"/>
      <c r="E37" s="187"/>
      <c r="F37" s="208"/>
      <c r="G37" s="208"/>
      <c r="H37" s="790"/>
      <c r="I37" s="1204"/>
      <c r="J37" s="1204"/>
      <c r="K37" s="1204"/>
      <c r="L37" s="1205"/>
      <c r="M37" s="1205"/>
      <c r="O37" s="3425"/>
      <c r="P37" s="3425"/>
      <c r="Q37" s="3425"/>
      <c r="AA37" s="2480">
        <v>37</v>
      </c>
    </row>
    <row r="38" spans="1:27" s="6" customFormat="1" ht="12" customHeight="1">
      <c r="B38" s="1218" t="s">
        <v>689</v>
      </c>
      <c r="C38" s="3428"/>
      <c r="D38" s="3429"/>
      <c r="E38" s="3430"/>
      <c r="F38" s="209"/>
      <c r="G38" s="209"/>
      <c r="H38" s="792"/>
      <c r="I38" s="1206"/>
      <c r="J38" s="1206"/>
      <c r="K38" s="1206"/>
      <c r="L38" s="1207"/>
      <c r="M38" s="1207"/>
      <c r="O38" s="3425"/>
      <c r="P38" s="3425"/>
      <c r="Q38" s="3425"/>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5"/>
      <c r="P39" s="3425"/>
      <c r="Q39" s="3425"/>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5171</v>
      </c>
      <c r="C43" s="3447"/>
      <c r="D43" s="3447"/>
      <c r="E43" s="3447"/>
      <c r="F43" s="3447"/>
      <c r="G43" s="3447"/>
      <c r="H43" s="3447"/>
      <c r="I43" s="3447"/>
      <c r="J43" s="3447"/>
      <c r="K43" s="3447"/>
      <c r="L43" s="3447"/>
      <c r="M43" s="3448"/>
      <c r="N43"/>
      <c r="O43" s="2908" t="s">
        <v>2445</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1706</v>
      </c>
      <c r="M45"/>
      <c r="N45"/>
      <c r="O45" s="2908"/>
      <c r="P45" s="2908"/>
      <c r="Q45" s="2908"/>
      <c r="R45" s="2908"/>
      <c r="S45" s="2908"/>
      <c r="AA45" s="2480">
        <v>45</v>
      </c>
    </row>
    <row r="46" spans="1:27" s="6" customFormat="1" ht="24.75" customHeight="1">
      <c r="B46" s="3449"/>
      <c r="C46" s="3450"/>
      <c r="D46" s="3450"/>
      <c r="E46" s="3450"/>
      <c r="F46" s="3450"/>
      <c r="G46" s="3450"/>
      <c r="H46" s="3450"/>
      <c r="I46" s="3450"/>
      <c r="J46" s="3450"/>
      <c r="K46" s="3450"/>
      <c r="L46" s="3450"/>
      <c r="M46" s="3451"/>
      <c r="N46"/>
      <c r="O46" s="2908"/>
      <c r="P46" s="2908"/>
      <c r="Q46" s="2908"/>
      <c r="R46" s="2908"/>
      <c r="S46" s="2908"/>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3" footer="0.3"/>
  <pageSetup scale="94"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7B615B-2A27-428B-8AC3-BC7D14EB58DB}">
  <ds:schemaRefs>
    <ds:schemaRef ds:uri="http://schemas.microsoft.com/sharepoint/v3/contenttype/forms"/>
  </ds:schemaRefs>
</ds:datastoreItem>
</file>

<file path=customXml/itemProps2.xml><?xml version="1.0" encoding="utf-8"?>
<ds:datastoreItem xmlns:ds="http://schemas.openxmlformats.org/officeDocument/2006/customXml" ds:itemID="{20325820-C3BA-42EA-B4BB-9FF9D6CEB43C}"/>
</file>

<file path=customXml/itemProps3.xml><?xml version="1.0" encoding="utf-8"?>
<ds:datastoreItem xmlns:ds="http://schemas.openxmlformats.org/officeDocument/2006/customXml" ds:itemID="{2CA731AB-1A58-46C4-BE2F-91749EE27A19}">
  <ds:schemaRefs>
    <ds:schemaRef ds:uri="http://schemas.microsoft.com/office/2006/metadata/properties"/>
    <ds:schemaRef ds:uri="http://schemas.microsoft.com/office/infopath/2007/PartnerControls"/>
    <ds:schemaRef ds:uri="cf7e0caf-86c6-4338-93c6-884736b6e202"/>
    <ds:schemaRef ds:uri="ca67a60b-50e1-4c09-bc21-981a8e6cc9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43</vt:i4>
      </vt:variant>
    </vt:vector>
  </HeadingPairs>
  <TitlesOfParts>
    <vt:vector size="74"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FedInvCreditEquity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lpstr>StateInvCreditEquity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2024-05-16T19:34:28Z</cp:lastPrinted>
  <dcterms:created xsi:type="dcterms:W3CDTF">2005-09-15T20:51:37Z</dcterms:created>
  <dcterms:modified xsi:type="dcterms:W3CDTF">2024-05-18T00:17:37Z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0x010100EE365A5BC7C37345B48DAAECE3412263</vt:lpwstr>
  </property>
</Properties>
</file>